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Name+Adress" sheetId="1" r:id="rId1"/>
    <sheet name="household+building" sheetId="2" r:id="rId2"/>
    <sheet name="electricity" sheetId="3" r:id="rId3"/>
    <sheet name="light, standby" sheetId="4" r:id="rId4"/>
    <sheet name="water" sheetId="5" r:id="rId5"/>
    <sheet name="water savings" sheetId="6" r:id="rId6"/>
    <sheet name="heating" sheetId="7" r:id="rId7"/>
    <sheet name="health&amp;other" sheetId="8" r:id="rId8"/>
    <sheet name="overview results" sheetId="9" r:id="rId9"/>
    <sheet name="report" sheetId="10" r:id="rId10"/>
    <sheet name="evaluation" sheetId="11" r:id="rId11"/>
    <sheet name="data price+co2+consumption" sheetId="12" r:id="rId12"/>
    <sheet name="data devices+costs" sheetId="13" r:id="rId13"/>
    <sheet name="Introduction" sheetId="14" r:id="rId14"/>
  </sheets>
  <definedNames>
    <definedName name="_xlnm.Print_Area" localSheetId="9">'report'!$A$1:$U$303</definedName>
    <definedName name="Bestellnummer">"#ref!"</definedName>
    <definedName name="gaga">"_z4s2"</definedName>
    <definedName name="ixMaßnahme">"#ref!"</definedName>
    <definedName name="ixMS">"#ref!"</definedName>
    <definedName name="ixMW">"#ref!"</definedName>
    <definedName name="ixRaum">"#ref!"</definedName>
    <definedName name="ixZapfstelle">"#ref!"</definedName>
    <definedName name="JahresStromkosten">'electricity'!$H$6:$H$45</definedName>
    <definedName name="JahresStromverbrauch">'electricity'!$G$6:$G$45</definedName>
    <definedName name="ListeMaßnahmeS">"#ref!"</definedName>
    <definedName name="ListeMaßnahmeW">"#ref!"</definedName>
    <definedName name="ListeProdukte">"#ref!"</definedName>
    <definedName name="ListeRäume">"#ref!"</definedName>
    <definedName name="ListeVerbraucher">"#ref!"</definedName>
    <definedName name="MaßnahmenEmphelung">"#ref!"</definedName>
    <definedName name="Preis">"#ref!"</definedName>
    <definedName name="Produkte">"#ref!"</definedName>
    <definedName name="startListe">"#ref!"</definedName>
    <definedName name="StartMaßnahme">"#ref!"</definedName>
    <definedName name="StartMS">"#ref!"</definedName>
    <definedName name="StartMW">"#ref!"</definedName>
    <definedName name="StartRaum">"#ref!"</definedName>
    <definedName name="StartZapf">"_z4s2"</definedName>
    <definedName name="StartZapfstelle">"_z4s2"</definedName>
    <definedName name="Statr">"#ref!"</definedName>
    <definedName name="StromverbraucherNr">"#ref!"</definedName>
    <definedName name="_C">"#ref!"</definedName>
    <definedName name="_xlfn_IFERROR">#N/A</definedName>
    <definedName name="gaga" localSheetId="8">"_z4s2"</definedName>
    <definedName name="StartZapf" localSheetId="8">"_z4s2"</definedName>
    <definedName name="StartZapfstelle" localSheetId="8">"_z4s2"</definedName>
    <definedName name="Excel_BuiltIn_Print_Area" localSheetId="9">'data devices+costs'!$A$1:$U$303</definedName>
    <definedName name="gaga" localSheetId="9">"_z4s2"</definedName>
    <definedName name="StartZapf" localSheetId="9">"_z4s2"</definedName>
    <definedName name="StartZapfstelle" localSheetId="9">"_z4s2"</definedName>
    <definedName name="Text10" localSheetId="9">'data devices+costs'!$C$33</definedName>
    <definedName name="Text11" localSheetId="9">'data devices+costs'!$F$33</definedName>
    <definedName name="Text12" localSheetId="9">'data devices+costs'!$G$33</definedName>
    <definedName name="Text13" localSheetId="9">'data devices+costs'!$I$33</definedName>
    <definedName name="Text14" localSheetId="9">NA()</definedName>
    <definedName name="Text15" localSheetId="9">'data devices+costs'!$J$33</definedName>
    <definedName name="Text16" localSheetId="9">'data devices+costs'!$C$35</definedName>
    <definedName name="Text17" localSheetId="9">'data devices+costs'!$G$35</definedName>
    <definedName name="Text18" localSheetId="9">NA()</definedName>
    <definedName name="Text61" localSheetId="9">'data devices+costs'!$C$34</definedName>
    <definedName name="Text62" localSheetId="9">'data devices+costs'!$G$34</definedName>
    <definedName name="Text63" localSheetId="9">NA()</definedName>
    <definedName name="Text64" localSheetId="9">'data devices+costs'!$C$36</definedName>
    <definedName name="Text65" localSheetId="9">'data devices+costs'!$G$36</definedName>
    <definedName name="Text66" localSheetId="9">NA()</definedName>
    <definedName name="_xlnm_Print_Area" localSheetId="9">'data devices+costs'!$A$1:$U$303</definedName>
    <definedName name="_xlnm__FilterDatabase" localSheetId="9">'data devices+costs'!$T$142:$U$158</definedName>
    <definedName name="_xlfn.IFERROR" hidden="1">#NAME?</definedName>
  </definedNames>
  <calcPr fullCalcOnLoad="1"/>
</workbook>
</file>

<file path=xl/comments12.xml><?xml version="1.0" encoding="utf-8"?>
<comments xmlns="http://schemas.openxmlformats.org/spreadsheetml/2006/main">
  <authors>
    <author> </author>
  </authors>
  <commentList>
    <comment ref="B32" authorId="0">
      <text>
        <r>
          <rPr>
            <b/>
            <sz val="10"/>
            <color indexed="8"/>
            <rFont val="Tahoma"/>
            <family val="2"/>
          </rPr>
          <t xml:space="preserve">Caritas:
</t>
        </r>
        <r>
          <rPr>
            <sz val="10"/>
            <color indexed="8"/>
            <rFont val="Tahoma"/>
            <family val="2"/>
          </rPr>
          <t>Source: Hessenenergie 2011: Strom effizient nutzen.</t>
        </r>
      </text>
    </comment>
    <comment ref="C5" authorId="0">
      <text>
        <r>
          <rPr>
            <b/>
            <sz val="10"/>
            <color indexed="8"/>
            <rFont val="Tahoma"/>
            <family val="2"/>
          </rPr>
          <t xml:space="preserve">Caritas:
</t>
        </r>
        <r>
          <rPr>
            <sz val="10"/>
            <color indexed="8"/>
            <rFont val="Tahoma"/>
            <family val="2"/>
          </rPr>
          <t>Source: BMWI / Mainova 2011</t>
        </r>
      </text>
    </comment>
    <comment ref="C6" authorId="0">
      <text>
        <r>
          <rPr>
            <b/>
            <sz val="10"/>
            <color indexed="8"/>
            <rFont val="Tahoma"/>
            <family val="2"/>
          </rPr>
          <t xml:space="preserve">Caritas:
</t>
        </r>
        <r>
          <rPr>
            <sz val="10"/>
            <color indexed="8"/>
            <rFont val="Tahoma"/>
            <family val="2"/>
          </rPr>
          <t>source: BMWI 2010</t>
        </r>
      </text>
    </comment>
    <comment ref="C7" authorId="0">
      <text>
        <r>
          <rPr>
            <b/>
            <sz val="10"/>
            <color indexed="8"/>
            <rFont val="Tahoma"/>
            <family val="2"/>
          </rPr>
          <t xml:space="preserve">Caritas:
</t>
        </r>
        <r>
          <rPr>
            <sz val="10"/>
            <color indexed="8"/>
            <rFont val="Tahoma"/>
            <family val="2"/>
          </rPr>
          <t>Source: Mainova 2011</t>
        </r>
      </text>
    </comment>
    <comment ref="C8" authorId="0">
      <text>
        <r>
          <rPr>
            <b/>
            <sz val="10"/>
            <color indexed="8"/>
            <rFont val="Tahoma"/>
            <family val="2"/>
          </rPr>
          <t xml:space="preserve">Caritas:
</t>
        </r>
        <r>
          <rPr>
            <sz val="10"/>
            <color indexed="8"/>
            <rFont val="Tahoma"/>
            <family val="2"/>
          </rPr>
          <t>Source: Mainova 2011</t>
        </r>
      </text>
    </comment>
    <comment ref="C9" authorId="0">
      <text>
        <r>
          <rPr>
            <b/>
            <sz val="10"/>
            <color indexed="8"/>
            <rFont val="Tahoma"/>
            <family val="2"/>
          </rPr>
          <t xml:space="preserve">Caritas:
</t>
        </r>
        <r>
          <rPr>
            <sz val="10"/>
            <color indexed="8"/>
            <rFont val="Tahoma"/>
            <family val="2"/>
          </rPr>
          <t>Source: Brennholzpreisindex 2011, ca. 80 €/SRM (Brennholzschüttmeter)</t>
        </r>
      </text>
    </comment>
    <comment ref="C10" authorId="0">
      <text>
        <r>
          <rPr>
            <b/>
            <sz val="10"/>
            <color indexed="8"/>
            <rFont val="Tahoma"/>
            <family val="2"/>
          </rPr>
          <t xml:space="preserve">Caritas:
</t>
        </r>
        <r>
          <rPr>
            <sz val="10"/>
            <color indexed="8"/>
            <rFont val="Tahoma"/>
            <family val="2"/>
          </rPr>
          <t>Soruce: BMWI 2011 (für 2009), 31,83 €/100kg</t>
        </r>
      </text>
    </comment>
    <comment ref="C13" authorId="0">
      <text>
        <r>
          <rPr>
            <b/>
            <sz val="10"/>
            <color indexed="8"/>
            <rFont val="Tahoma"/>
            <family val="2"/>
          </rPr>
          <t xml:space="preserve">Caritas:
</t>
        </r>
        <r>
          <rPr>
            <sz val="10"/>
            <color indexed="8"/>
            <rFont val="Tahoma"/>
            <family val="2"/>
          </rPr>
          <t>Source: Mainova</t>
        </r>
      </text>
    </comment>
    <comment ref="C18" authorId="0">
      <text>
        <r>
          <rPr>
            <b/>
            <sz val="10"/>
            <color indexed="8"/>
            <rFont val="Tahoma"/>
            <family val="2"/>
          </rPr>
          <t xml:space="preserve">Caritas:
</t>
        </r>
        <r>
          <rPr>
            <sz val="10"/>
            <color indexed="8"/>
            <rFont val="Tahoma"/>
            <family val="2"/>
          </rPr>
          <t>Source: Evaluation SSC 2010 FFU Berlin (Berechnung Öko-Institut auf Basis AGEB/BDEW (2008)</t>
        </r>
      </text>
    </comment>
    <comment ref="C69" authorId="0">
      <text>
        <r>
          <rPr>
            <b/>
            <sz val="10"/>
            <color indexed="8"/>
            <rFont val="Tahoma"/>
            <family val="2"/>
          </rPr>
          <t xml:space="preserve">Caritas:
</t>
        </r>
        <r>
          <rPr>
            <sz val="10"/>
            <color indexed="8"/>
            <rFont val="Tahoma"/>
            <family val="2"/>
          </rPr>
          <t>Source: data from co
2online, Heizspiegel bundesweit 2010 (witterungskorrigiert)</t>
        </r>
      </text>
    </comment>
    <comment ref="E18" authorId="0">
      <text>
        <r>
          <rPr>
            <b/>
            <sz val="10"/>
            <color indexed="8"/>
            <rFont val="Tahoma"/>
            <family val="2"/>
          </rPr>
          <t xml:space="preserve">Caritas:
</t>
        </r>
        <r>
          <rPr>
            <sz val="10"/>
            <color indexed="8"/>
            <rFont val="Tahoma"/>
            <family val="2"/>
          </rPr>
          <t>Source: Evaluation SSC 2010 FFU Berlin (Berechnung Öko-Institut auf Basis AGEB/BDEW (2008)</t>
        </r>
      </text>
    </comment>
  </commentList>
</comments>
</file>

<file path=xl/comments2.xml><?xml version="1.0" encoding="utf-8"?>
<comments xmlns="http://schemas.openxmlformats.org/spreadsheetml/2006/main">
  <authors>
    <author> </author>
  </authors>
  <commentList>
    <comment ref="G26" authorId="0">
      <text>
        <r>
          <rPr>
            <i/>
            <sz val="8"/>
            <rFont val="Arial"/>
            <family val="2"/>
          </rPr>
          <t>*If number of persons in household is higher than 5, then change the input in cell G26 in sheet ''data price+co2+consumption'' with the same number as well.</t>
        </r>
      </text>
    </comment>
  </commentList>
</comments>
</file>

<file path=xl/comments4.xml><?xml version="1.0" encoding="utf-8"?>
<comments xmlns="http://schemas.openxmlformats.org/spreadsheetml/2006/main">
  <authors>
    <author> </author>
  </authors>
  <commentList>
    <comment ref="X100" authorId="0">
      <text>
        <r>
          <rPr>
            <b/>
            <sz val="10"/>
            <color indexed="8"/>
            <rFont val="Tahoma"/>
            <family val="2"/>
          </rPr>
          <t xml:space="preserve">Caritas:
</t>
        </r>
        <r>
          <rPr>
            <sz val="10"/>
            <color indexed="8"/>
            <rFont val="Tahoma"/>
            <family val="2"/>
          </rPr>
          <t>This cell has to stay empty!</t>
        </r>
      </text>
    </comment>
    <comment ref="X132" authorId="0">
      <text>
        <r>
          <rPr>
            <b/>
            <sz val="10"/>
            <color indexed="8"/>
            <rFont val="Tahoma"/>
            <family val="2"/>
          </rPr>
          <t xml:space="preserve">Caritas:
</t>
        </r>
        <r>
          <rPr>
            <sz val="10"/>
            <color indexed="8"/>
            <rFont val="Tahoma"/>
            <family val="2"/>
          </rPr>
          <t>This cell has to stay empty!</t>
        </r>
      </text>
    </comment>
  </commentList>
</comments>
</file>

<file path=xl/comments9.xml><?xml version="1.0" encoding="utf-8"?>
<comments xmlns="http://schemas.openxmlformats.org/spreadsheetml/2006/main">
  <authors>
    <author> </author>
  </authors>
  <commentList>
    <comment ref="N17" authorId="0">
      <text>
        <r>
          <rPr>
            <b/>
            <sz val="10"/>
            <color indexed="8"/>
            <rFont val="Tahoma"/>
            <family val="2"/>
          </rPr>
          <t xml:space="preserve">Caritas:
</t>
        </r>
        <r>
          <rPr>
            <sz val="10"/>
            <color indexed="8"/>
            <rFont val="Tahoma"/>
            <family val="2"/>
          </rPr>
          <t xml:space="preserve">based on the ecodesign guideline, new rules for simple relfector lamps 
and halogen lamps in 2016 </t>
        </r>
      </text>
    </comment>
  </commentList>
</comments>
</file>

<file path=xl/sharedStrings.xml><?xml version="1.0" encoding="utf-8"?>
<sst xmlns="http://schemas.openxmlformats.org/spreadsheetml/2006/main" count="1768" uniqueCount="940">
  <si>
    <t>Savings check - electricity, heating, water</t>
  </si>
  <si>
    <t>Personal data</t>
  </si>
  <si>
    <t>General data</t>
  </si>
  <si>
    <t>Title:</t>
  </si>
  <si>
    <t>Date of 1. visit:</t>
  </si>
  <si>
    <t>Ms</t>
  </si>
  <si>
    <t>Female</t>
  </si>
  <si>
    <t>Less than primary education</t>
  </si>
  <si>
    <t>First name</t>
  </si>
  <si>
    <t>Name:</t>
  </si>
  <si>
    <t>O1 Your gender</t>
  </si>
  <si>
    <t>Mrs</t>
  </si>
  <si>
    <t>Male</t>
  </si>
  <si>
    <t>Primary education</t>
  </si>
  <si>
    <t>Street + No:</t>
  </si>
  <si>
    <t>Mr</t>
  </si>
  <si>
    <t>Other</t>
  </si>
  <si>
    <t>Secondary education</t>
  </si>
  <si>
    <t>Postal code</t>
  </si>
  <si>
    <t>City:</t>
  </si>
  <si>
    <t>family</t>
  </si>
  <si>
    <t>Bachelor or equivalent</t>
  </si>
  <si>
    <t xml:space="preserve">Tel.-Nr. </t>
  </si>
  <si>
    <t>Master or equivalent</t>
  </si>
  <si>
    <t>Doctoral or equivalent</t>
  </si>
  <si>
    <t>Adviser 1:</t>
  </si>
  <si>
    <t>Household ID:</t>
  </si>
  <si>
    <t>Adviser 2:</t>
  </si>
  <si>
    <t>O2. What is the level of completed formal education?</t>
  </si>
  <si>
    <t>Special remark /hint to find the adress</t>
  </si>
  <si>
    <t>Saving check - electricity, heating, water</t>
  </si>
  <si>
    <t xml:space="preserve">Household ID </t>
  </si>
  <si>
    <t xml:space="preserve">Year of the advice  </t>
  </si>
  <si>
    <t>Data about the building, the household and the anual consumption</t>
  </si>
  <si>
    <t xml:space="preserve">data for size of building inserted </t>
  </si>
  <si>
    <t>O8.In what type of dwelling do you live</t>
  </si>
  <si>
    <t xml:space="preserve">O9. Tenancy status? </t>
  </si>
  <si>
    <t>2 felder…</t>
  </si>
  <si>
    <t>Single-family house</t>
  </si>
  <si>
    <t>Own dwelling with a mortgage</t>
  </si>
  <si>
    <t>1 or 2</t>
  </si>
  <si>
    <t>Single-person household</t>
  </si>
  <si>
    <t xml:space="preserve">Nr. of flats in the building </t>
  </si>
  <si>
    <t>Multi-apartment building</t>
  </si>
  <si>
    <t>Own dwelling without mortgage</t>
  </si>
  <si>
    <t>3 to 5</t>
  </si>
  <si>
    <t>Couple with children</t>
  </si>
  <si>
    <t>O4. Type of household?</t>
  </si>
  <si>
    <t>Commercial space</t>
  </si>
  <si>
    <t>Rent it</t>
  </si>
  <si>
    <t>6 to 10</t>
  </si>
  <si>
    <t>Couple without children</t>
  </si>
  <si>
    <r>
      <rPr>
        <b/>
        <sz val="8"/>
        <rFont val="Arial"/>
        <family val="2"/>
      </rPr>
      <t>If it`s a flat:</t>
    </r>
    <r>
      <rPr>
        <sz val="8"/>
        <rFont val="Arial"/>
        <family val="2"/>
      </rPr>
      <t xml:space="preserve"> </t>
    </r>
  </si>
  <si>
    <t>Other, please describe</t>
  </si>
  <si>
    <t>Recovered or occupied it</t>
  </si>
  <si>
    <t>11 to 20</t>
  </si>
  <si>
    <t>Walls</t>
  </si>
  <si>
    <t>Single-parent family</t>
  </si>
  <si>
    <t xml:space="preserve">Where is the flat in the house? </t>
  </si>
  <si>
    <t>more than 20</t>
  </si>
  <si>
    <t>Roof</t>
  </si>
  <si>
    <t>Two or more non-familiar persons</t>
  </si>
  <si>
    <t>Wall and roof</t>
  </si>
  <si>
    <t xml:space="preserve">If it`s a house: </t>
  </si>
  <si>
    <t>Floor</t>
  </si>
  <si>
    <t xml:space="preserve">What kind of house? </t>
  </si>
  <si>
    <t>standing alone</t>
  </si>
  <si>
    <t>last floor /under the roof</t>
  </si>
  <si>
    <t>All above</t>
  </si>
  <si>
    <t>standing in a line - middle</t>
  </si>
  <si>
    <t>floor in the middle</t>
  </si>
  <si>
    <t>Other (please describe)</t>
  </si>
  <si>
    <t>standing in a line - corner</t>
  </si>
  <si>
    <t>1st floor</t>
  </si>
  <si>
    <t>No insulation</t>
  </si>
  <si>
    <t xml:space="preserve">Age of the building </t>
  </si>
  <si>
    <t>How long do you live there?</t>
  </si>
  <si>
    <t>basement</t>
  </si>
  <si>
    <t>I don’t know</t>
  </si>
  <si>
    <t>O19 Does your dwelling have any insulation?</t>
  </si>
  <si>
    <t xml:space="preserve">ceiling hight </t>
  </si>
  <si>
    <t>single glasses</t>
  </si>
  <si>
    <t>Entire dwelling</t>
  </si>
  <si>
    <t>Woman</t>
  </si>
  <si>
    <t>standard of windows</t>
  </si>
  <si>
    <t>standard of window frames</t>
  </si>
  <si>
    <t xml:space="preserve">double glasses </t>
  </si>
  <si>
    <t>nomal (2,50 - 2,80 m)</t>
  </si>
  <si>
    <t>wood, plastic</t>
  </si>
  <si>
    <t>Only some rooms</t>
  </si>
  <si>
    <t>Man</t>
  </si>
  <si>
    <t>O11 Do you heat or cool the entire dwelling or only some rooms?</t>
  </si>
  <si>
    <t>O34. Under whose name are contracts with energy and water suppliers in your HH?</t>
  </si>
  <si>
    <t>triple glasses</t>
  </si>
  <si>
    <t>high (&gt; 3m)</t>
  </si>
  <si>
    <t>aluminium, metall</t>
  </si>
  <si>
    <t>Both</t>
  </si>
  <si>
    <t>O10. Size of dwelling in m2</t>
  </si>
  <si>
    <t>m²</t>
  </si>
  <si>
    <t>O35. Who is in charge of paying the bills?</t>
  </si>
  <si>
    <t>dont`t know</t>
  </si>
  <si>
    <t>don`t know</t>
  </si>
  <si>
    <t xml:space="preserve">Number of rooms </t>
  </si>
  <si>
    <t>O36. Who is in charge of contacting energy and water suppliers</t>
  </si>
  <si>
    <t xml:space="preserve">Number of persons in household </t>
  </si>
  <si>
    <t>person(s)</t>
  </si>
  <si>
    <t>Who takes decisions on energy, water?</t>
  </si>
  <si>
    <t>yes</t>
  </si>
  <si>
    <t>unemployed benefit (ALG II)</t>
  </si>
  <si>
    <t>&gt; 60 years (before 1960)</t>
  </si>
  <si>
    <t>&lt; 5 years</t>
  </si>
  <si>
    <t xml:space="preserve">Average days of absence per year? </t>
  </si>
  <si>
    <t>days</t>
  </si>
  <si>
    <t>no</t>
  </si>
  <si>
    <t>social welfare</t>
  </si>
  <si>
    <t>&gt; 35 years (1960 -1985)</t>
  </si>
  <si>
    <t>5-10 years</t>
  </si>
  <si>
    <t>O3. Specify no.:</t>
  </si>
  <si>
    <t>female</t>
  </si>
  <si>
    <t>male</t>
  </si>
  <si>
    <t>other</t>
  </si>
  <si>
    <t xml:space="preserve">Average days at home per year? </t>
  </si>
  <si>
    <t xml:space="preserve">support für rent </t>
  </si>
  <si>
    <t>&gt; 25 years (1985 -1995)</t>
  </si>
  <si>
    <t>10 -20 years</t>
  </si>
  <si>
    <t>Minors (0-17)</t>
  </si>
  <si>
    <t xml:space="preserve">Do people mostly stay at home all day? </t>
  </si>
  <si>
    <t>social passport</t>
  </si>
  <si>
    <t>&lt; 25 years (after 1995)</t>
  </si>
  <si>
    <t>&gt; 20 years</t>
  </si>
  <si>
    <t>Adults (18-64)</t>
  </si>
  <si>
    <t>O5. Are you recipient of public social welfare?</t>
  </si>
  <si>
    <t>Eldery (65+)</t>
  </si>
  <si>
    <t>O6. Are you accomodated in social housing?</t>
  </si>
  <si>
    <r>
      <rPr>
        <b/>
        <sz val="9"/>
        <rFont val="Arial"/>
        <family val="2"/>
      </rPr>
      <t xml:space="preserve">Annual consumption of electricity </t>
    </r>
    <r>
      <rPr>
        <sz val="9"/>
        <rFont val="Arial"/>
        <family val="2"/>
      </rPr>
      <t xml:space="preserve">(for lightning, cooking, washing, cooling…) </t>
    </r>
  </si>
  <si>
    <t>Do you have green energy tarrif?</t>
  </si>
  <si>
    <t>Would you like to have renewable energy?</t>
  </si>
  <si>
    <t xml:space="preserve">Payment per month for elecricity </t>
  </si>
  <si>
    <t>yes, last year</t>
  </si>
  <si>
    <t xml:space="preserve">Consumtion of electricity per month (kWh) </t>
  </si>
  <si>
    <t>yes, but no access</t>
  </si>
  <si>
    <t>yes, several times</t>
  </si>
  <si>
    <t xml:space="preserve">Price per kWh electricity  </t>
  </si>
  <si>
    <t>per kWh, inkl. VAT and severage</t>
  </si>
  <si>
    <t>partly</t>
  </si>
  <si>
    <t>no answer</t>
  </si>
  <si>
    <t xml:space="preserve">Elec.consumption per year </t>
  </si>
  <si>
    <t>kWh</t>
  </si>
  <si>
    <t xml:space="preserve">Consumption includes electricity for heating? </t>
  </si>
  <si>
    <t xml:space="preserve">Electricity consumption (without heating) in kWh / year </t>
  </si>
  <si>
    <t>result electricity consumption</t>
  </si>
  <si>
    <t xml:space="preserve">Costs for kWh electrictiy </t>
  </si>
  <si>
    <t xml:space="preserve">included basic costs per year </t>
  </si>
  <si>
    <t>Euro</t>
  </si>
  <si>
    <t>assessment:</t>
  </si>
  <si>
    <t>kWh/year</t>
  </si>
  <si>
    <t>no info</t>
  </si>
  <si>
    <t xml:space="preserve">Actual costs per year (total costs from the bill) </t>
  </si>
  <si>
    <t>economical</t>
  </si>
  <si>
    <t>Consumtion includes electric water heating?</t>
  </si>
  <si>
    <t>good</t>
  </si>
  <si>
    <t>high</t>
  </si>
  <si>
    <t xml:space="preserve">Incl.electricity for heating pump?  </t>
  </si>
  <si>
    <t>very high</t>
  </si>
  <si>
    <t xml:space="preserve">Date of 2nd visit /installation: </t>
  </si>
  <si>
    <t xml:space="preserve">Date of controll: </t>
  </si>
  <si>
    <t xml:space="preserve">Actual value at the meter: </t>
  </si>
  <si>
    <t xml:space="preserve">Value at the meter: </t>
  </si>
  <si>
    <t xml:space="preserve">result (kWh) </t>
  </si>
  <si>
    <t xml:space="preserve">savings (kWh and %) per year  </t>
  </si>
  <si>
    <r>
      <rPr>
        <b/>
        <sz val="9"/>
        <rFont val="Arial"/>
        <family val="2"/>
      </rPr>
      <t xml:space="preserve">Annual consumption of water </t>
    </r>
    <r>
      <rPr>
        <sz val="9"/>
        <rFont val="Arial"/>
        <family val="2"/>
      </rPr>
      <t>(for drinking, washing, shower, …)</t>
    </r>
  </si>
  <si>
    <t xml:space="preserve">Problems to pay the bill? </t>
  </si>
  <si>
    <t>Consum. of water per month</t>
  </si>
  <si>
    <t xml:space="preserve">Price per m3 water </t>
  </si>
  <si>
    <t>per m³  (water and waste water, incl. VAT and sewerage)</t>
  </si>
  <si>
    <t>*If water consumption is different from month to month, you can fill the cell J66 manualy</t>
  </si>
  <si>
    <t>Annual consumption drinking water</t>
  </si>
  <si>
    <t>result water consumption</t>
  </si>
  <si>
    <t>m³/person</t>
  </si>
  <si>
    <t>Water consumption m³</t>
  </si>
  <si>
    <t>very economical</t>
  </si>
  <si>
    <t>&lt;25</t>
  </si>
  <si>
    <t xml:space="preserve">Water costs per year </t>
  </si>
  <si>
    <t>25-35</t>
  </si>
  <si>
    <t>average</t>
  </si>
  <si>
    <t>verbesserungswürdig</t>
  </si>
  <si>
    <t>36-45</t>
  </si>
  <si>
    <t>hoch</t>
  </si>
  <si>
    <t>46-55</t>
  </si>
  <si>
    <t>sehr hoch</t>
  </si>
  <si>
    <t>&gt;55</t>
  </si>
  <si>
    <t xml:space="preserve">result (m³) for metered time  </t>
  </si>
  <si>
    <t xml:space="preserve">savings (m³ and %) per year  </t>
  </si>
  <si>
    <r>
      <rPr>
        <b/>
        <sz val="9"/>
        <rFont val="Arial"/>
        <family val="2"/>
      </rPr>
      <t>Annual consumption heating energy</t>
    </r>
    <r>
      <rPr>
        <sz val="9"/>
        <rFont val="Arial"/>
        <family val="2"/>
      </rPr>
      <t xml:space="preserve"> (from previous year)</t>
    </r>
  </si>
  <si>
    <t xml:space="preserve">Bill for heat energy available? </t>
  </si>
  <si>
    <t xml:space="preserve">Price (ca.) per kWh gas/oil  </t>
  </si>
  <si>
    <t>EUR/kWh  incl. VAT.</t>
  </si>
  <si>
    <t>central heating (oil /gas)</t>
  </si>
  <si>
    <t>no 2nd heating system</t>
  </si>
  <si>
    <t>district heating</t>
  </si>
  <si>
    <t xml:space="preserve">electricity </t>
  </si>
  <si>
    <t xml:space="preserve">Heating system </t>
  </si>
  <si>
    <t>&gt;&gt;&gt;</t>
  </si>
  <si>
    <t>&gt;&gt;&gt;&gt;</t>
  </si>
  <si>
    <t>heating with:</t>
  </si>
  <si>
    <t>heating system for the floor (e.g. gas)</t>
  </si>
  <si>
    <t>stoves (gas, oil, coal, wood)</t>
  </si>
  <si>
    <t xml:space="preserve">2. heating system (if there is one…) </t>
  </si>
  <si>
    <t xml:space="preserve">electric heating system </t>
  </si>
  <si>
    <t>solar</t>
  </si>
  <si>
    <t>Do you use renewable energy for heating?</t>
  </si>
  <si>
    <t>storage heater</t>
  </si>
  <si>
    <t xml:space="preserve">Consumption includes water heating?  </t>
  </si>
  <si>
    <t>heating pump</t>
  </si>
  <si>
    <t>solar system</t>
  </si>
  <si>
    <t>*Please fill out th consumption of all the heating system (if you have more than 1). For district heating put the costs in cell H96; correct the results in cell J96 if needed.</t>
  </si>
  <si>
    <t>Fuel</t>
  </si>
  <si>
    <t>conversion factor</t>
  </si>
  <si>
    <t>consumption</t>
  </si>
  <si>
    <t>result heat energy consumption</t>
  </si>
  <si>
    <t>Electricity kWh</t>
  </si>
  <si>
    <t>This assessment of the heat energy consumption depends on the size of the building (no. of flats in the building) and the size of the flat (m²). Please always fill out these cell.</t>
  </si>
  <si>
    <t>Fuel oil, (1 l = 10 kWh)</t>
  </si>
  <si>
    <t>Natural gas, (1 m³ = 10,3 kWh)</t>
  </si>
  <si>
    <t>district heating kWh</t>
  </si>
  <si>
    <t>in EUR</t>
  </si>
  <si>
    <t>kWh/m²/year</t>
  </si>
  <si>
    <t>Liquid gas (1 kg = 12.8 kWh)</t>
  </si>
  <si>
    <t>Wood (1 m³ = 1,800 kWh)</t>
  </si>
  <si>
    <t>Coal (1 kg = 8 kWh)</t>
  </si>
  <si>
    <t xml:space="preserve">Total amount: </t>
  </si>
  <si>
    <t xml:space="preserve">Total costs heating energy  </t>
  </si>
  <si>
    <t>Warm water heating system</t>
  </si>
  <si>
    <t xml:space="preserve">Water boiling system bathroom?  </t>
  </si>
  <si>
    <t>Fan</t>
  </si>
  <si>
    <t xml:space="preserve">Water boiling system kitchen?  </t>
  </si>
  <si>
    <t>Mobile air conditioning</t>
  </si>
  <si>
    <t>gastherme /boiler gas</t>
  </si>
  <si>
    <t>Air conditioning in a room</t>
  </si>
  <si>
    <t>Cooling system</t>
  </si>
  <si>
    <t>flow heater gas</t>
  </si>
  <si>
    <t>Air conditioning in more than one room</t>
  </si>
  <si>
    <t>What cooling system do you have?</t>
  </si>
  <si>
    <t xml:space="preserve">electric boiler - small (5-10 l) </t>
  </si>
  <si>
    <t>Centralized system</t>
  </si>
  <si>
    <t>Satisfaction</t>
  </si>
  <si>
    <t xml:space="preserve">electric boiler - large </t>
  </si>
  <si>
    <t>O20. How would you assess your summer thermal comfort?</t>
  </si>
  <si>
    <t>electric flow heater</t>
  </si>
  <si>
    <t>None</t>
  </si>
  <si>
    <t>O21. How would you assess your winter thermal comfort?</t>
  </si>
  <si>
    <t xml:space="preserve">solar </t>
  </si>
  <si>
    <t>General remarks</t>
  </si>
  <si>
    <t>Data collection: Electricity consumption current status</t>
  </si>
  <si>
    <t>€ / kWh</t>
  </si>
  <si>
    <t>consumption per year:</t>
  </si>
  <si>
    <t>Room</t>
  </si>
  <si>
    <t>Device/function</t>
  </si>
  <si>
    <t xml:space="preserve"> Power (Watt)</t>
  </si>
  <si>
    <t>Time of usage per day (hrs)</t>
  </si>
  <si>
    <t>Consump-tion per use in kWh</t>
  </si>
  <si>
    <t>Number of uses per month</t>
  </si>
  <si>
    <t>Consump-tion per year in kWh</t>
  </si>
  <si>
    <t xml:space="preserve">Electricity costs per year in € </t>
  </si>
  <si>
    <t>Remarks</t>
  </si>
  <si>
    <t>Consumption per year in kWh</t>
  </si>
  <si>
    <t>Fridge, freezer, electr. water boiling systems</t>
  </si>
  <si>
    <r>
      <rPr>
        <b/>
        <sz val="10"/>
        <rFont val="Arial"/>
        <family val="2"/>
      </rPr>
      <t>Washing mashine, diswasher, tumbler</t>
    </r>
    <r>
      <rPr>
        <sz val="10"/>
        <rFont val="Arial"/>
        <family val="2"/>
      </rPr>
      <t xml:space="preserve"> (please insert the consumption of water also in the sheet for water) </t>
    </r>
  </si>
  <si>
    <t>Total</t>
  </si>
  <si>
    <t>Lightning, standby losses and electric water boiling</t>
  </si>
  <si>
    <t>Nr. of persons in the household</t>
  </si>
  <si>
    <t xml:space="preserve">yearly consumtion of electricity </t>
  </si>
  <si>
    <t xml:space="preserve">electrical warm water heating </t>
  </si>
  <si>
    <t>Savings in lightning</t>
  </si>
  <si>
    <t>*Please fill these tables only if you will give efficient light bulbs to the household</t>
  </si>
  <si>
    <t>Watt before</t>
  </si>
  <si>
    <t>hrs / day</t>
  </si>
  <si>
    <t>Watt after</t>
  </si>
  <si>
    <t>Type of LED lightbulb</t>
  </si>
  <si>
    <t>Savings</t>
  </si>
  <si>
    <t>Price</t>
  </si>
  <si>
    <t>living room</t>
  </si>
  <si>
    <t>Euro / year</t>
  </si>
  <si>
    <t>kitchen</t>
  </si>
  <si>
    <t>bedroom</t>
  </si>
  <si>
    <t>bathroom</t>
  </si>
  <si>
    <t>WC</t>
  </si>
  <si>
    <t>hall</t>
  </si>
  <si>
    <t>childrens room</t>
  </si>
  <si>
    <t>guest room</t>
  </si>
  <si>
    <t>home office</t>
  </si>
  <si>
    <t>other room</t>
  </si>
  <si>
    <t>storage</t>
  </si>
  <si>
    <t>Calculated for days per year people are at home.</t>
  </si>
  <si>
    <t>Type of lamp: E14</t>
  </si>
  <si>
    <t>Type of lamp: Other</t>
  </si>
  <si>
    <t>Type of lamp: LED</t>
  </si>
  <si>
    <t>Remark /Tipp:</t>
  </si>
  <si>
    <t>Turnout the light if you leave the room even if you use CFL</t>
  </si>
  <si>
    <t>Don`t use halogen uplight, they need several hundred watts, it saves about 200 W</t>
  </si>
  <si>
    <t xml:space="preserve">Don`t throw away CFL in the normal garbage if they are broken. They have a little amount of mercure inside. </t>
  </si>
  <si>
    <t>Savings in standby consumption</t>
  </si>
  <si>
    <t>computer</t>
  </si>
  <si>
    <t>computer monitor</t>
  </si>
  <si>
    <t xml:space="preserve">Please put only aplliances with a similar time of using at the same power strip! </t>
  </si>
  <si>
    <t>printer</t>
  </si>
  <si>
    <t>scanner</t>
  </si>
  <si>
    <t>*Please fill these tables only if you will give power strips to the household</t>
  </si>
  <si>
    <t>internet access</t>
  </si>
  <si>
    <t>play station</t>
  </si>
  <si>
    <t>Appliance with standby losses</t>
  </si>
  <si>
    <t>hours / day</t>
  </si>
  <si>
    <t>Type of power strip</t>
  </si>
  <si>
    <t>TV</t>
  </si>
  <si>
    <t>satellite TV unit</t>
  </si>
  <si>
    <t>DVD-player</t>
  </si>
  <si>
    <t>CD-player</t>
  </si>
  <si>
    <t>hifi system</t>
  </si>
  <si>
    <t>radio</t>
  </si>
  <si>
    <t>Calculated for 365 days a year</t>
  </si>
  <si>
    <t>Calculated for 365 days a year.                                                                                                                           Total</t>
  </si>
  <si>
    <t>Calculated for 365 days a year                                                                                                                           Total</t>
  </si>
  <si>
    <t>Switchable power strips only save energy if of you turn them out regularly. Every avoided kWh standby saves about 2 € per year.</t>
  </si>
  <si>
    <t>The best is to switch out the button of the power strip directly after using!</t>
  </si>
  <si>
    <t>Put the button of the power strip on a place where you can see it very well!</t>
  </si>
  <si>
    <t>Savings in electric warm water heating</t>
  </si>
  <si>
    <t xml:space="preserve">Never use the thermostopp for large boiler! </t>
  </si>
  <si>
    <t>Type of device:                                      clock timer or thermostopp</t>
  </si>
  <si>
    <t xml:space="preserve">5-10 litres electric boiler </t>
  </si>
  <si>
    <t>5-10 litres electric boiler</t>
  </si>
  <si>
    <t>othter</t>
  </si>
  <si>
    <t>If you use the clock timer and need water fast, switch the button…</t>
  </si>
  <si>
    <t xml:space="preserve">Turn off the boiler if you don`t need warm water (absence, …). </t>
  </si>
  <si>
    <t xml:space="preserve">If you use a  boiler and you turn it on regularly only if you need water: Turn it off before you take the warm water from the tap. </t>
  </si>
  <si>
    <t>Reduce the degree of the flow heater to 40 - 45 degree.</t>
  </si>
  <si>
    <t>Never use the clock timer for big boiler!</t>
  </si>
  <si>
    <t>Data collection: Water consumption current status</t>
  </si>
  <si>
    <t>No. of persons</t>
  </si>
  <si>
    <t>price m² water (incl. VAT):</t>
  </si>
  <si>
    <t>€ / m³</t>
  </si>
  <si>
    <t xml:space="preserve">consumption per year </t>
  </si>
  <si>
    <t>Device / function</t>
  </si>
  <si>
    <t xml:space="preserve">Type </t>
  </si>
  <si>
    <t>Flow per min. in litres</t>
  </si>
  <si>
    <t xml:space="preserve">Average time of use </t>
  </si>
  <si>
    <t>Litres per use</t>
  </si>
  <si>
    <t>No. of uses per …</t>
  </si>
  <si>
    <t>consump-tion per use</t>
  </si>
  <si>
    <t>Consump-tion per year in m²</t>
  </si>
  <si>
    <t>Water costs per year in €</t>
  </si>
  <si>
    <t>Remark(s)</t>
  </si>
  <si>
    <t>Toilet</t>
  </si>
  <si>
    <t>per day /person</t>
  </si>
  <si>
    <t>xxx</t>
  </si>
  <si>
    <t>assessment of consumption</t>
  </si>
  <si>
    <t>Shower</t>
  </si>
  <si>
    <t>time per use</t>
  </si>
  <si>
    <t>per week /person</t>
  </si>
  <si>
    <t>Tap</t>
  </si>
  <si>
    <t>thread inside (M24)/outside (M22)?</t>
  </si>
  <si>
    <t>time per day</t>
  </si>
  <si>
    <t>Appliances</t>
  </si>
  <si>
    <t>per month</t>
  </si>
  <si>
    <t>Washing machine</t>
  </si>
  <si>
    <t>Dishwasher</t>
  </si>
  <si>
    <t>others, e.g. bath, irrigation of garden, …</t>
  </si>
  <si>
    <t>time per month</t>
  </si>
  <si>
    <t>...or…</t>
  </si>
  <si>
    <t>use per month</t>
  </si>
  <si>
    <t>Water savings</t>
  </si>
  <si>
    <t xml:space="preserve">Nr. of persons </t>
  </si>
  <si>
    <t>water boiling with electricity</t>
  </si>
  <si>
    <t xml:space="preserve">average consumtion  </t>
  </si>
  <si>
    <t>m³</t>
  </si>
  <si>
    <t xml:space="preserve">water boiling system in the bathroom </t>
  </si>
  <si>
    <t xml:space="preserve">water boiling system in the kitchen </t>
  </si>
  <si>
    <t>Savings in WC</t>
  </si>
  <si>
    <t>Liter / use before</t>
  </si>
  <si>
    <r>
      <rPr>
        <b/>
        <sz val="8"/>
        <rFont val="Arial"/>
        <family val="2"/>
      </rPr>
      <t>average use</t>
    </r>
    <r>
      <rPr>
        <sz val="8"/>
        <rFont val="Arial"/>
        <family val="2"/>
      </rPr>
      <t xml:space="preserve"> per day (per   person)</t>
    </r>
  </si>
  <si>
    <t>Liter /use after</t>
  </si>
  <si>
    <t>Type of device: WC-stopp weight</t>
  </si>
  <si>
    <t>m² /year</t>
  </si>
  <si>
    <t>Calculated for days per year people are at home</t>
  </si>
  <si>
    <t xml:space="preserve">If there are children in the household: Parents should explain how it works, that they don`t use too less water (pipes can be choked).  </t>
  </si>
  <si>
    <t>Savings at the shower</t>
  </si>
  <si>
    <t>To boil 1 m³ of water needs</t>
  </si>
  <si>
    <t>Rate of warm water at the shower</t>
  </si>
  <si>
    <t>*Please fill these tables only if you will efficient shower head of flow limiter to the household</t>
  </si>
  <si>
    <t>metered flow  before (l /min.)</t>
  </si>
  <si>
    <r>
      <rPr>
        <b/>
        <sz val="8"/>
        <rFont val="Arial"/>
        <family val="2"/>
      </rPr>
      <t>no. of shower</t>
    </r>
    <r>
      <rPr>
        <sz val="8"/>
        <rFont val="Arial"/>
        <family val="2"/>
      </rPr>
      <t xml:space="preserve"> per person a week</t>
    </r>
  </si>
  <si>
    <t>average time of the shower (min)</t>
  </si>
  <si>
    <t>flow after (l /min.)</t>
  </si>
  <si>
    <t>Type of device: efficient shower head or flow limiter</t>
  </si>
  <si>
    <t>kWh² /year (for water boiling)</t>
  </si>
  <si>
    <t xml:space="preserve">Calculated for days per year people are at home. </t>
  </si>
  <si>
    <t xml:space="preserve">Shower coach? </t>
  </si>
  <si>
    <t xml:space="preserve">Price </t>
  </si>
  <si>
    <t xml:space="preserve">Warm water is expensive. Dont`t use more than 5 min. to take a shower.The shower coach will will help you. </t>
  </si>
  <si>
    <t>Taking a shower instead of a bath saved water, energy and costs.</t>
  </si>
  <si>
    <t>Savings at the tap</t>
  </si>
  <si>
    <t>Don`t use tap aerators if the water is boiled with a small eletric boiler with 3 pipes!</t>
  </si>
  <si>
    <t xml:space="preserve">bathroom: rate of use per time </t>
  </si>
  <si>
    <t xml:space="preserve">kitchen: rate of use per time </t>
  </si>
  <si>
    <t>Rate of warm water at the tap</t>
  </si>
  <si>
    <t>*Please fill these tables only if you will give tap aerators to the household</t>
  </si>
  <si>
    <t>metered flow  before   (l /min.)</t>
  </si>
  <si>
    <t>average time of use per person and day (min)</t>
  </si>
  <si>
    <t>Type of device: Tap aerator</t>
  </si>
  <si>
    <t>kWh /year (for water boiling)</t>
  </si>
  <si>
    <t xml:space="preserve">Calculated for days per year people are at home.  </t>
  </si>
  <si>
    <t>Take care of dripping taps.</t>
  </si>
  <si>
    <t>Heating and ventilation</t>
  </si>
  <si>
    <t xml:space="preserve">house or flat </t>
  </si>
  <si>
    <t xml:space="preserve">own / rented  </t>
  </si>
  <si>
    <t xml:space="preserve">Heatable living space   </t>
  </si>
  <si>
    <t xml:space="preserve">yearly consumption of heat energy  </t>
  </si>
  <si>
    <t xml:space="preserve">Is heat energy metered? </t>
  </si>
  <si>
    <t xml:space="preserve">2nd heating system </t>
  </si>
  <si>
    <t>General questions: How do you heat and ventilate the rooms?</t>
  </si>
  <si>
    <t>turn the window wide open for some minutes</t>
  </si>
  <si>
    <t xml:space="preserve">tipp the window for longer timer </t>
  </si>
  <si>
    <t xml:space="preserve">How do you ventilate the rooms in winter? </t>
  </si>
  <si>
    <t xml:space="preserve">Do you switch out the thermostatic valves if you ventilate the room?  </t>
  </si>
  <si>
    <t>always</t>
  </si>
  <si>
    <t>Do you reduce temperature while absence /at night?</t>
  </si>
  <si>
    <t>mostly</t>
  </si>
  <si>
    <t xml:space="preserve">Do you close the doors between heated and not heated rooms? </t>
  </si>
  <si>
    <t>sometimes</t>
  </si>
  <si>
    <t xml:space="preserve">Do you use an additional electrical heater / radiator in winter? </t>
  </si>
  <si>
    <t>no thermostatic valves</t>
  </si>
  <si>
    <t>Saving losses by the window</t>
  </si>
  <si>
    <t xml:space="preserve">Draught at the window(s)? </t>
  </si>
  <si>
    <t xml:space="preserve">Total no. of windows at the flat /house? </t>
  </si>
  <si>
    <t>*Please fill these tables only if you will give draft proofing to the household</t>
  </si>
  <si>
    <t>room</t>
  </si>
  <si>
    <t>Nr. of windows</t>
  </si>
  <si>
    <t xml:space="preserve">window size </t>
  </si>
  <si>
    <t>lengh of isolation (m)</t>
  </si>
  <si>
    <t>used device: window isolation?</t>
  </si>
  <si>
    <t xml:space="preserve">Price  </t>
  </si>
  <si>
    <t>wide (m)</t>
  </si>
  <si>
    <t xml:space="preserve">high (m) </t>
  </si>
  <si>
    <t>savings of the total consumption</t>
  </si>
  <si>
    <t>all rooms</t>
  </si>
  <si>
    <t>m</t>
  </si>
  <si>
    <t xml:space="preserve">Total </t>
  </si>
  <si>
    <t xml:space="preserve">Windows with single glasses? </t>
  </si>
  <si>
    <t>used device: Thermo cover foil?</t>
  </si>
  <si>
    <t xml:space="preserve">Price   </t>
  </si>
  <si>
    <t>Close the shutters at night. It will save about 1-2% of the heat energy consumption.</t>
  </si>
  <si>
    <t>Ventilate all the rooms regularly</t>
  </si>
  <si>
    <t>If you ventilate the rooms, open the windows wide for some minutes. Never let it open just a little bit for a long time.</t>
  </si>
  <si>
    <t>Saving losses by the door</t>
  </si>
  <si>
    <t xml:space="preserve">Drought at the door(s)? </t>
  </si>
  <si>
    <t>outside</t>
  </si>
  <si>
    <t>door from room…</t>
  </si>
  <si>
    <t>..to room</t>
  </si>
  <si>
    <t>No./ (m)</t>
  </si>
  <si>
    <t>used device: wind stopper?</t>
  </si>
  <si>
    <t>stairway</t>
  </si>
  <si>
    <t>guestroom</t>
  </si>
  <si>
    <t xml:space="preserve">Put a curtain in front of the main door in the evening. </t>
  </si>
  <si>
    <t>Savings from / at the radiator</t>
  </si>
  <si>
    <t xml:space="preserve">Thin wall behind the radiator? </t>
  </si>
  <si>
    <t xml:space="preserve">Total no. of radiators at the flat /house? </t>
  </si>
  <si>
    <t>*Please fill these tables only if you will give isolation foil to the household</t>
  </si>
  <si>
    <t>no. of niche for radiator</t>
  </si>
  <si>
    <t>size of isolation</t>
  </si>
  <si>
    <t>m2</t>
  </si>
  <si>
    <t xml:space="preserve">used device: isolation foil </t>
  </si>
  <si>
    <t xml:space="preserve">Radiator in front of the  </t>
  </si>
  <si>
    <t xml:space="preserve">window with single glass? </t>
  </si>
  <si>
    <t>no. of windows with radiator</t>
  </si>
  <si>
    <t xml:space="preserve">size of isolation </t>
  </si>
  <si>
    <t>used device:isolation board</t>
  </si>
  <si>
    <t xml:space="preserve">Thermostatic valves missing?  </t>
  </si>
  <si>
    <t xml:space="preserve">Only radiators who already have a (simple) valve can </t>
  </si>
  <si>
    <t xml:space="preserve">be exchanged with a thermostatic valve. </t>
  </si>
  <si>
    <t>no.</t>
  </si>
  <si>
    <t xml:space="preserve">used device: thermostatic valve </t>
  </si>
  <si>
    <t xml:space="preserve">Radiator(s) doesn`t become warm?  </t>
  </si>
  <si>
    <t>in some rooms</t>
  </si>
  <si>
    <t>parly cold radiator</t>
  </si>
  <si>
    <t>in all rooms</t>
  </si>
  <si>
    <t>Problem</t>
  </si>
  <si>
    <t>No.</t>
  </si>
  <si>
    <t>used device: key for radiator</t>
  </si>
  <si>
    <t>-</t>
  </si>
  <si>
    <t>no calculation possible</t>
  </si>
  <si>
    <t>Put the curtains away from the radiator</t>
  </si>
  <si>
    <t>Put the furniture away from the radiator</t>
  </si>
  <si>
    <t>Mould</t>
  </si>
  <si>
    <t xml:space="preserve">Any problems with mould? </t>
  </si>
  <si>
    <t>used device: thermometer</t>
  </si>
  <si>
    <t>temperature normal</t>
  </si>
  <si>
    <t>mould visible</t>
  </si>
  <si>
    <t>temperature too warm</t>
  </si>
  <si>
    <t>no mould visible</t>
  </si>
  <si>
    <t>temperature too cold</t>
  </si>
  <si>
    <t xml:space="preserve">Reduce the temperature in the livingroom to 20 C. Each degree less saves 6% of energy and cost. </t>
  </si>
  <si>
    <t xml:space="preserve">Reduce the temperature in the bedroom at the day. Each degree less saves 6% of energy and cost. </t>
  </si>
  <si>
    <t>Ventilate the rooms regularlay to let the humid ait out by opening the window widely.</t>
  </si>
  <si>
    <t>Take care if you dry the clothes in the flat.The humidity of the wet clothes could lead to mould.</t>
  </si>
  <si>
    <t xml:space="preserve">Additional help /advice needed? </t>
  </si>
  <si>
    <t>Health questions</t>
  </si>
  <si>
    <t xml:space="preserve">O29. How is your health in general? </t>
  </si>
  <si>
    <t>Very good</t>
  </si>
  <si>
    <t>Yes</t>
  </si>
  <si>
    <t xml:space="preserve">Severely limited </t>
  </si>
  <si>
    <t xml:space="preserve">Good </t>
  </si>
  <si>
    <t>No</t>
  </si>
  <si>
    <t xml:space="preserve">Limited but not severly </t>
  </si>
  <si>
    <t>O30. Do you have any longstanding illness or health problem?</t>
  </si>
  <si>
    <t>Fair</t>
  </si>
  <si>
    <t>Don't know</t>
  </si>
  <si>
    <t>Not limited at all</t>
  </si>
  <si>
    <t>Poor</t>
  </si>
  <si>
    <t>Prefer not to answer</t>
  </si>
  <si>
    <t>O31. Do you suffer or have you suffered from any of the following chronic disorders?</t>
  </si>
  <si>
    <t>High blood pressure</t>
  </si>
  <si>
    <t>Very poor</t>
  </si>
  <si>
    <t>Asthma</t>
  </si>
  <si>
    <t>Chronic bronchitis</t>
  </si>
  <si>
    <t>Migraine or frequent headaches</t>
  </si>
  <si>
    <t>Depression and / or anxiety</t>
  </si>
  <si>
    <t>Angina pectoris or myocardial infarction</t>
  </si>
  <si>
    <t>Osteoarthritis, arthritis or rheumatism</t>
  </si>
  <si>
    <t>Osteoporosis</t>
  </si>
  <si>
    <t>Chronic lumbar or dorsal back pain</t>
  </si>
  <si>
    <t>O32. For at least the past six months, to what extent have you been limited because of a health problem in activities people usually do? Would you say you have been …</t>
  </si>
  <si>
    <t>O33. Over the last two weeks:</t>
  </si>
  <si>
    <t>All the time</t>
  </si>
  <si>
    <t>I have felt cheerful and in good spirits</t>
  </si>
  <si>
    <t>Most of the time</t>
  </si>
  <si>
    <t>I have felt calm and relaxed</t>
  </si>
  <si>
    <t>More than half of the time</t>
  </si>
  <si>
    <t>I have felt active and vigorous</t>
  </si>
  <si>
    <t>Less than half of the time</t>
  </si>
  <si>
    <t>I woke up feeling fresh and rested</t>
  </si>
  <si>
    <t>Some of the time</t>
  </si>
  <si>
    <t>My daily life has been filled with things that interest me</t>
  </si>
  <si>
    <t>At no time</t>
  </si>
  <si>
    <t>With great difficulty</t>
  </si>
  <si>
    <t>Additional questions</t>
  </si>
  <si>
    <t>With difficulty</t>
  </si>
  <si>
    <t xml:space="preserve">O7. Thinking of your household's total income, is your household able to make ends meet, that is pay your usual expenses... </t>
  </si>
  <si>
    <t>With some difficulty</t>
  </si>
  <si>
    <t>Fairly easily</t>
  </si>
  <si>
    <t>O12. Have you done any refurbishing in your dwelling in recent years?</t>
  </si>
  <si>
    <t>Easils</t>
  </si>
  <si>
    <t xml:space="preserve">O13. If yes, what? </t>
  </si>
  <si>
    <t>Very easilsy</t>
  </si>
  <si>
    <t>O14. Have you applied energy saving and / or efficiency measures in recent years?</t>
  </si>
  <si>
    <t>O15. If you answered yes, could you tell us which ones?</t>
  </si>
  <si>
    <t>New windows</t>
  </si>
  <si>
    <t xml:space="preserve">New heating system </t>
  </si>
  <si>
    <t>Floor, wall or roof insulation</t>
  </si>
  <si>
    <t>Thermal solar panels</t>
  </si>
  <si>
    <t>New energy efficient electrical appliances</t>
  </si>
  <si>
    <t>O17. If you use renewable energy sources at home, what do you use?</t>
  </si>
  <si>
    <t>Solar thermal</t>
  </si>
  <si>
    <t>Solar photovoltaics</t>
  </si>
  <si>
    <t>Geothermal</t>
  </si>
  <si>
    <t>Biogas</t>
  </si>
  <si>
    <t>Biomass</t>
  </si>
  <si>
    <t xml:space="preserve">Wind </t>
  </si>
  <si>
    <t>Renewable electricity supply contract</t>
  </si>
  <si>
    <t>O18. Do you have any of the following problems in your dwelling?</t>
  </si>
  <si>
    <t>Leaking roof</t>
  </si>
  <si>
    <t>Damp walls/floors/foundation</t>
  </si>
  <si>
    <t>Rot in window frames or floor</t>
  </si>
  <si>
    <t>Draught from windows or doors</t>
  </si>
  <si>
    <t>Supply is contracted under my/our name</t>
  </si>
  <si>
    <t>O24. What is the situation of your supplies?</t>
  </si>
  <si>
    <t>Supply is contracted under someone else's name</t>
  </si>
  <si>
    <t>Water</t>
  </si>
  <si>
    <t>Irregular connection</t>
  </si>
  <si>
    <t>Electricity</t>
  </si>
  <si>
    <t>Supply cut warning</t>
  </si>
  <si>
    <t>Gas</t>
  </si>
  <si>
    <t>Supply already disconnected</t>
  </si>
  <si>
    <t>Heating</t>
  </si>
  <si>
    <t>I have accummulated debt</t>
  </si>
  <si>
    <t>Does not apply / I don't have this supply or service</t>
  </si>
  <si>
    <t>O25. In order to be able to pay for electricity, gas, heating or other energy use in the home, has your household been forced to do the following in the last 12 months?</t>
  </si>
  <si>
    <t>Cut back on food purchases</t>
  </si>
  <si>
    <t xml:space="preserve">Cut back on use of warm water </t>
  </si>
  <si>
    <t>Cut back on lighting</t>
  </si>
  <si>
    <t>Cut back on electrical appliance use</t>
  </si>
  <si>
    <t>Cut back on basic expenses (e.g. medicines, clothes…)</t>
  </si>
  <si>
    <t>Reduced window opening and ventilation</t>
  </si>
  <si>
    <t>O26. Can your household afford to keep its home adequately warm?</t>
  </si>
  <si>
    <t>O27. Can your household keep home comfortably cool during summer time?</t>
  </si>
  <si>
    <t>O28. In the last twelve months, has the household been in arrears, i.e. has been unable to pay on time due to financial difficulties for utility bills (heating, electricity, gas, water, etc.) for the main dwelling?</t>
  </si>
  <si>
    <t>O37. How confident do you feel over the next situations?</t>
  </si>
  <si>
    <t>Not at all</t>
  </si>
  <si>
    <t>I feel confident about whether my energy consumption is higher or lower than normal for my type of household</t>
  </si>
  <si>
    <t>A little</t>
  </si>
  <si>
    <t>I feel confident about my current energy price that I am not paying too much</t>
  </si>
  <si>
    <t>Somehow</t>
  </si>
  <si>
    <t>I feel confident on how to save energy</t>
  </si>
  <si>
    <t>Yes, to some extent</t>
  </si>
  <si>
    <t>I feel confident to help others saving on their energy bill</t>
  </si>
  <si>
    <t>Yes, fully</t>
  </si>
  <si>
    <t>I am aware of how different energy tariffs can be used to lower my energy bill</t>
  </si>
  <si>
    <t>Not relevant</t>
  </si>
  <si>
    <t>Overview of results</t>
  </si>
  <si>
    <t>Primary energy – savings per lifetime of devices</t>
  </si>
  <si>
    <t>Eletricity-primary energy savings</t>
  </si>
  <si>
    <t>Heat energy-primary energy savings</t>
  </si>
  <si>
    <t>Assessment</t>
  </si>
  <si>
    <t>Primary energy – savings per year</t>
  </si>
  <si>
    <t>Total-primary energy savings</t>
  </si>
  <si>
    <t>Electricity (kWh/a)</t>
  </si>
  <si>
    <t>Water (m³/yaer)</t>
  </si>
  <si>
    <t>data from the bill ?</t>
  </si>
  <si>
    <t xml:space="preserve">energie carrier heating </t>
  </si>
  <si>
    <t>Heat Energy (kWh/year)</t>
  </si>
  <si>
    <t xml:space="preserve">data from the bill? </t>
  </si>
  <si>
    <t xml:space="preserve">emission factor heating </t>
  </si>
  <si>
    <t>conversion factor for primary energy</t>
  </si>
  <si>
    <t>Savings from the devices</t>
  </si>
  <si>
    <t>Devices</t>
  </si>
  <si>
    <t>Savings per year</t>
  </si>
  <si>
    <t>Long term savings – per lifetime of devices</t>
  </si>
  <si>
    <t>No. of devices</t>
  </si>
  <si>
    <t>Invest- ment (Euro)</t>
  </si>
  <si>
    <t xml:space="preserve">Electricity </t>
  </si>
  <si>
    <t>Heat energy</t>
  </si>
  <si>
    <t>Life- time</t>
  </si>
  <si>
    <t>Type</t>
  </si>
  <si>
    <r>
      <rPr>
        <sz val="9"/>
        <rFont val="Arial"/>
        <family val="2"/>
      </rPr>
      <t>CO</t>
    </r>
    <r>
      <rPr>
        <vertAlign val="subscript"/>
        <sz val="9"/>
        <rFont val="Arial"/>
        <family val="2"/>
      </rPr>
      <t xml:space="preserve">2 </t>
    </r>
    <r>
      <rPr>
        <sz val="9"/>
        <rFont val="Arial"/>
        <family val="2"/>
      </rPr>
      <t>(kg)</t>
    </r>
  </si>
  <si>
    <r>
      <rPr>
        <sz val="9"/>
        <rFont val="Arial"/>
        <family val="2"/>
      </rPr>
      <t>CO</t>
    </r>
    <r>
      <rPr>
        <vertAlign val="subscript"/>
        <sz val="9"/>
        <rFont val="Arial"/>
        <family val="2"/>
      </rPr>
      <t>2</t>
    </r>
    <r>
      <rPr>
        <sz val="9"/>
        <rFont val="Arial"/>
        <family val="2"/>
      </rPr>
      <t xml:space="preserve"> (kg)</t>
    </r>
  </si>
  <si>
    <t>LED lightbulbs</t>
  </si>
  <si>
    <t>power strip with on/off button</t>
  </si>
  <si>
    <t>efficient shower head</t>
  </si>
  <si>
    <t>tap aerator</t>
  </si>
  <si>
    <t>draught proofing window</t>
  </si>
  <si>
    <t xml:space="preserve">draught proofing door </t>
  </si>
  <si>
    <t xml:space="preserve">isolation behind radiator </t>
  </si>
  <si>
    <t>Total Amount</t>
  </si>
  <si>
    <t>% of savings</t>
  </si>
  <si>
    <t>Check savings (are they possible?)</t>
  </si>
  <si>
    <t>Maximum</t>
  </si>
  <si>
    <t xml:space="preserve">This project has received funding from the European Union’s Horizon 2020 </t>
  </si>
  <si>
    <t>research and innovation programme under grant agreement No 847052.</t>
  </si>
  <si>
    <t>Partner contact</t>
  </si>
  <si>
    <t>the visit in your household and the information you give lead to the following results:</t>
  </si>
  <si>
    <t>You can reach energy and water savings of</t>
  </si>
  <si>
    <t>per year, which is</t>
  </si>
  <si>
    <t>kWh savings of total final energy.</t>
  </si>
  <si>
    <t xml:space="preserve">You can save </t>
  </si>
  <si>
    <r>
      <rPr>
        <sz val="10"/>
        <rFont val="Arial"/>
        <family val="2"/>
      </rPr>
      <t>kg CO</t>
    </r>
    <r>
      <rPr>
        <vertAlign val="subscript"/>
        <sz val="10"/>
        <rFont val="Arial"/>
        <family val="2"/>
      </rPr>
      <t xml:space="preserve">2 </t>
    </r>
    <r>
      <rPr>
        <sz val="10"/>
        <rFont val="Arial"/>
        <family val="2"/>
      </rPr>
      <t>to protect the climate</t>
    </r>
  </si>
  <si>
    <t xml:space="preserve">You got devices with a value of </t>
  </si>
  <si>
    <t>for free.</t>
  </si>
  <si>
    <t>Further savings are possible if you follow the tips!</t>
  </si>
  <si>
    <t>Yearly consumption</t>
  </si>
  <si>
    <t>electricity</t>
  </si>
  <si>
    <t>water*</t>
  </si>
  <si>
    <t>heat energy*</t>
  </si>
  <si>
    <t>EUR</t>
  </si>
  <si>
    <t>Per person</t>
  </si>
  <si>
    <t xml:space="preserve"> - </t>
  </si>
  <si>
    <t>* How much money your household will save depends on the billing system for heating and if water and heat energy is metered for the flat.</t>
  </si>
  <si>
    <t>Per m²</t>
  </si>
  <si>
    <t xml:space="preserve">Assessment </t>
  </si>
  <si>
    <t>in %</t>
  </si>
  <si>
    <t>Number of persons</t>
  </si>
  <si>
    <t>Heated floor space in m²</t>
  </si>
  <si>
    <t>Object type</t>
  </si>
  <si>
    <t>Ceiling hight</t>
  </si>
  <si>
    <t>Heating system</t>
  </si>
  <si>
    <t xml:space="preserve"> </t>
  </si>
  <si>
    <t>No. of flats in the building</t>
  </si>
  <si>
    <t>Energie carrier</t>
  </si>
  <si>
    <t>Situation of flat / house</t>
  </si>
  <si>
    <t>2 nd heating system</t>
  </si>
  <si>
    <t>Insulation</t>
  </si>
  <si>
    <t xml:space="preserve">Electric water boiling </t>
  </si>
  <si>
    <t>Standard of the windows</t>
  </si>
  <si>
    <t>Standard of window frame</t>
  </si>
  <si>
    <t>Adviser</t>
  </si>
  <si>
    <t>Date of installations</t>
  </si>
  <si>
    <t>Problems with mould ?</t>
  </si>
  <si>
    <t>Additional advice necessary?</t>
  </si>
  <si>
    <t>Measures: Lightning</t>
  </si>
  <si>
    <t xml:space="preserve"> Device</t>
  </si>
  <si>
    <t>Yearly savings</t>
  </si>
  <si>
    <t>kWh elec.</t>
  </si>
  <si>
    <t>Measures: Standby losses</t>
  </si>
  <si>
    <t>Measures: Standby losses water boiling with electricity</t>
  </si>
  <si>
    <t xml:space="preserve">Measures: Water savings </t>
  </si>
  <si>
    <t>m³ water</t>
  </si>
  <si>
    <t>kWh heat.</t>
  </si>
  <si>
    <t>Measures: Heat Energy savings at the window</t>
  </si>
  <si>
    <t xml:space="preserve">No </t>
  </si>
  <si>
    <t>Size</t>
  </si>
  <si>
    <t>+</t>
  </si>
  <si>
    <t>Measures: Heat Energy savings at the door</t>
  </si>
  <si>
    <t xml:space="preserve">No. </t>
  </si>
  <si>
    <t>Measures: Heat Energy savings at the radiator</t>
  </si>
  <si>
    <t>Measures: Temperature, humidity and mould protection</t>
  </si>
  <si>
    <t xml:space="preserve">Possible savings by own investment </t>
  </si>
  <si>
    <t>Own investment: New, efficient fridge / freezer (A++/+++)</t>
  </si>
  <si>
    <t>Appliance</t>
  </si>
  <si>
    <t>Age</t>
  </si>
  <si>
    <t>Actual consumption</t>
  </si>
  <si>
    <t>Invest</t>
  </si>
  <si>
    <t xml:space="preserve"> Savings after 10 years </t>
  </si>
  <si>
    <t xml:space="preserve">Exchange recommended </t>
  </si>
  <si>
    <t>you got</t>
  </si>
  <si>
    <t>thermometer for the fridge</t>
  </si>
  <si>
    <t>Own investment: New, efficient washing machine (A++)</t>
  </si>
  <si>
    <t xml:space="preserve">kWh </t>
  </si>
  <si>
    <t xml:space="preserve">m³ </t>
  </si>
  <si>
    <t>Own investment: New, efficient tumbler (A)</t>
  </si>
  <si>
    <t>Own investment: New, efficient dishwasher (A++/+++)</t>
  </si>
  <si>
    <t>Thank you for your cooperation. Please do not hesitate to contact us if you have any questions.</t>
  </si>
  <si>
    <t xml:space="preserve">Please keep your future annual bills for electricity, water and heating </t>
  </si>
  <si>
    <t>to be able to check how much you have saved.</t>
  </si>
  <si>
    <t>Yours sincerely</t>
  </si>
  <si>
    <t>Signature</t>
  </si>
  <si>
    <r>
      <rPr>
        <b/>
        <sz val="11"/>
        <rFont val="Arial"/>
        <family val="2"/>
      </rPr>
      <t xml:space="preserve">Encl: </t>
    </r>
    <r>
      <rPr>
        <sz val="11"/>
        <rFont val="Arial"/>
        <family val="2"/>
      </rPr>
      <t xml:space="preserve">Overview of the aplliances and the use of electricity and water in the household. </t>
    </r>
  </si>
  <si>
    <t>Info about the household, social status, gender, building and energy bills</t>
  </si>
  <si>
    <t>Electricity (per year)</t>
  </si>
  <si>
    <t>Heating (per year)</t>
  </si>
  <si>
    <t>Water (per year)</t>
  </si>
  <si>
    <t>Total savings per year</t>
  </si>
  <si>
    <t>Long term savings (per lifetime of devices)</t>
  </si>
  <si>
    <t>O2 What is the level of completed formal education?</t>
  </si>
  <si>
    <t>O8 In what type of dwelling do you live</t>
  </si>
  <si>
    <t>O9 Tenancy status?</t>
  </si>
  <si>
    <t>Nr. of flats in the building</t>
  </si>
  <si>
    <t>O4 Type of household?</t>
  </si>
  <si>
    <t>Where is the flat in the building?</t>
  </si>
  <si>
    <t>What kind of house?</t>
  </si>
  <si>
    <t>Age of the building</t>
  </si>
  <si>
    <t>O19 Does you dwelling have any insulation?</t>
  </si>
  <si>
    <t>Standard of windows</t>
  </si>
  <si>
    <t>O10 Size od dweeling in m2</t>
  </si>
  <si>
    <t>Number of rooms</t>
  </si>
  <si>
    <t>Number of persons in household</t>
  </si>
  <si>
    <t>O3 Specify no. Minors (0-17)</t>
  </si>
  <si>
    <t>O3 Specify no. Adults (18-64)</t>
  </si>
  <si>
    <t>O3 Specify no. Elderly (65+)</t>
  </si>
  <si>
    <t>Standard of window frames</t>
  </si>
  <si>
    <t>O34 Under whose name are contracts with energy and water suppliers in your HH?</t>
  </si>
  <si>
    <t>O35 Who is in charge of paying the bills?</t>
  </si>
  <si>
    <t>O36 Who is in charge of contacting energy and water suppliers</t>
  </si>
  <si>
    <t>Average days of absence per year</t>
  </si>
  <si>
    <t>Do people mostly stay at home all day?</t>
  </si>
  <si>
    <t>O5 Are you recipient of public social welfare?</t>
  </si>
  <si>
    <t>O6 Are you accomodated in social housing?</t>
  </si>
  <si>
    <t>Main heating system</t>
  </si>
  <si>
    <t>Heating with</t>
  </si>
  <si>
    <t>2. heating system (if there is one)</t>
  </si>
  <si>
    <t>Water boiling system bathroom?</t>
  </si>
  <si>
    <t>Water boiling system kithcen?</t>
  </si>
  <si>
    <t>O20 How would you assess your summer thermal comfort?</t>
  </si>
  <si>
    <t>O21 How would you assess your winter thermal comfort?</t>
  </si>
  <si>
    <t>How do you ventilate the rooms in winter?</t>
  </si>
  <si>
    <t>Do you switch the thermostatic valves if you ventilate the room?</t>
  </si>
  <si>
    <t>Do you reduce temperature while absence/at night?</t>
  </si>
  <si>
    <t>Do you close the doors between heated and not heated rooms?</t>
  </si>
  <si>
    <t>Do you use an additional electrical heater /radiator in winter?</t>
  </si>
  <si>
    <t>Draught at the windows?</t>
  </si>
  <si>
    <t>Draught at the doors?</t>
  </si>
  <si>
    <t>Any problems with mould?</t>
  </si>
  <si>
    <t>Total investment (price of devices)</t>
  </si>
  <si>
    <t>Power strip</t>
  </si>
  <si>
    <t>Efficient shower head or flow regulator</t>
  </si>
  <si>
    <t>Tap aerator</t>
  </si>
  <si>
    <t>Draught proofing – window</t>
  </si>
  <si>
    <t>Draught proofing – door</t>
  </si>
  <si>
    <t>Isolation panel behind radiator</t>
  </si>
  <si>
    <t>Thermometer</t>
  </si>
  <si>
    <t>Electricity consumption</t>
  </si>
  <si>
    <t>Electricity price</t>
  </si>
  <si>
    <t>Electricity savings</t>
  </si>
  <si>
    <t>Electricity cost savings</t>
  </si>
  <si>
    <t>CO2 savings</t>
  </si>
  <si>
    <t>Heat energy consumption</t>
  </si>
  <si>
    <t>Specific energy consumption</t>
  </si>
  <si>
    <t>Heating price</t>
  </si>
  <si>
    <t>Heat energy savings</t>
  </si>
  <si>
    <t>Heating cost savings</t>
  </si>
  <si>
    <t>Water consumption</t>
  </si>
  <si>
    <t>Water price</t>
  </si>
  <si>
    <t>Water cost savings</t>
  </si>
  <si>
    <t>Total final energy savings</t>
  </si>
  <si>
    <t>Total water savings</t>
  </si>
  <si>
    <t>Total cost savings</t>
  </si>
  <si>
    <t>Total CO2 savings</t>
  </si>
  <si>
    <t>Total primary energy savings</t>
  </si>
  <si>
    <t>Eletricity</t>
  </si>
  <si>
    <t>O29 How is your health in general?</t>
  </si>
  <si>
    <t>O30 Do you have any longstanding ilness or health problem?</t>
  </si>
  <si>
    <t>O31 Do you suffer or have you suffered from any of the following chronic disorders?</t>
  </si>
  <si>
    <t>O32 For at least the past six months, to what extent have you been limited because of a health problem in activities people usually do? Would you say you have been...</t>
  </si>
  <si>
    <t>O33 Over the last two weeks:</t>
  </si>
  <si>
    <t>O7 thinking of your household's total income, is your household able to make ends meet, that is pay your usual expenses...</t>
  </si>
  <si>
    <t>O12 Have you done any refurbishing in your dwelling in recent years?</t>
  </si>
  <si>
    <t>O13 If yes, what?</t>
  </si>
  <si>
    <t>O14 Have you applied energy savings and / or efficiency measures in recent years?</t>
  </si>
  <si>
    <t>O15 If you answered yes, could you tell us which ones?</t>
  </si>
  <si>
    <t>O17 If you use renewable energy sources at home, what do you use?</t>
  </si>
  <si>
    <t>O18 Do you have any of the following problems in your dwelling?</t>
  </si>
  <si>
    <t>O24 What is the situation of your supplies?</t>
  </si>
  <si>
    <t>O25 In order to be able to pay for electricity, gas, heating or other energy use in the home, has your household ben forced to do following in the last 12 months?</t>
  </si>
  <si>
    <t>O26 Can your household afford to keep its home adequately warm?</t>
  </si>
  <si>
    <t>O27 Can your household keep home comfortably cool during summer time?</t>
  </si>
  <si>
    <t>O28 In the lat twelve months, has the houehold been in arrears?</t>
  </si>
  <si>
    <t>O37 How confident do you feel over the next situations?</t>
  </si>
  <si>
    <t>€</t>
  </si>
  <si>
    <t>Number</t>
  </si>
  <si>
    <t>No. of radiators</t>
  </si>
  <si>
    <t>kWh/y</t>
  </si>
  <si>
    <t>€/kWh</t>
  </si>
  <si>
    <t>%</t>
  </si>
  <si>
    <t>€/y</t>
  </si>
  <si>
    <t>kgCO2/y</t>
  </si>
  <si>
    <t>kWh/m²/y</t>
  </si>
  <si>
    <t>m³/y</t>
  </si>
  <si>
    <t>€/m³</t>
  </si>
  <si>
    <t>kgCO2</t>
  </si>
  <si>
    <t>New heating system</t>
  </si>
  <si>
    <t>Wind</t>
  </si>
  <si>
    <t>Cut back on use of warm water</t>
  </si>
  <si>
    <t>Cut back on basic expenses (e.g. medicines, clothes...)</t>
  </si>
  <si>
    <t>I feel confident about whether my energy consumptin is higher or lower than normal for my type of household</t>
  </si>
  <si>
    <t>Average prices</t>
  </si>
  <si>
    <t xml:space="preserve">Average price for heat energy (if there is no info about the energy carrier) </t>
  </si>
  <si>
    <t>EURO per kWh incl. VAT</t>
  </si>
  <si>
    <t>oil</t>
  </si>
  <si>
    <t>gas</t>
  </si>
  <si>
    <t>wood</t>
  </si>
  <si>
    <t>coal</t>
  </si>
  <si>
    <t>liquid gas</t>
  </si>
  <si>
    <t>EURO per m³ incl. VAT and severage</t>
  </si>
  <si>
    <t xml:space="preserve">water (incl. waste water </t>
  </si>
  <si>
    <r>
      <rPr>
        <b/>
        <sz val="12"/>
        <rFont val="Arial"/>
        <family val="2"/>
      </rPr>
      <t>CO</t>
    </r>
    <r>
      <rPr>
        <b/>
        <vertAlign val="subscript"/>
        <sz val="12"/>
        <rFont val="Arial"/>
        <family val="2"/>
      </rPr>
      <t>2</t>
    </r>
    <r>
      <rPr>
        <b/>
        <sz val="12"/>
        <rFont val="Arial"/>
        <family val="2"/>
      </rPr>
      <t xml:space="preserve"> emission factors</t>
    </r>
  </si>
  <si>
    <t xml:space="preserve">Average emission factor for heat energy (if there is no info about the energy carrier) </t>
  </si>
  <si>
    <t>Conversion factor for primary energy</t>
  </si>
  <si>
    <t>g / kWh</t>
  </si>
  <si>
    <t xml:space="preserve">g / kWh </t>
  </si>
  <si>
    <t>If there is no data about energy carrier, than this factor is used:</t>
  </si>
  <si>
    <t>Average consumption</t>
  </si>
  <si>
    <t>Average consumption of electricity (specific electricity for lightning, cooking, washing, …not for heating!)</t>
  </si>
  <si>
    <t>reduction if it is not included</t>
  </si>
  <si>
    <t>Background calculation</t>
  </si>
  <si>
    <t>Person /Hh.</t>
  </si>
  <si>
    <t>Average consumption (kWh/a)</t>
  </si>
  <si>
    <t>water boiling</t>
  </si>
  <si>
    <t>cooking with gas</t>
  </si>
  <si>
    <t>heating pump incl.</t>
  </si>
  <si>
    <t>result</t>
  </si>
  <si>
    <t>Reduction from…(kWh/a)</t>
  </si>
  <si>
    <t>Consumption</t>
  </si>
  <si>
    <t>cooking with Gas</t>
  </si>
  <si>
    <t>Cooking with Gas</t>
  </si>
  <si>
    <t>kWh/a</t>
  </si>
  <si>
    <t>Average consumption of water</t>
  </si>
  <si>
    <t>m²/person (average)</t>
  </si>
  <si>
    <t>Average consumption of heat energy</t>
  </si>
  <si>
    <t>no. of flats</t>
  </si>
  <si>
    <t>size of building</t>
  </si>
  <si>
    <t>low</t>
  </si>
  <si>
    <t>kWh/m2</t>
  </si>
  <si>
    <t>middle</t>
  </si>
  <si>
    <t>to high</t>
  </si>
  <si>
    <t>kWh/m²</t>
  </si>
  <si>
    <t>asessment</t>
  </si>
  <si>
    <t>1 to 5</t>
  </si>
  <si>
    <t>100 -250 m²</t>
  </si>
  <si>
    <t>up to</t>
  </si>
  <si>
    <t>and more</t>
  </si>
  <si>
    <t>1 to 5 flats</t>
  </si>
  <si>
    <t>251 - 500 m²</t>
  </si>
  <si>
    <t>501 - 1000 m²</t>
  </si>
  <si>
    <t>&gt;1000 m²</t>
  </si>
  <si>
    <t>6 to 10 flats</t>
  </si>
  <si>
    <t>group</t>
  </si>
  <si>
    <t>value to calculate the heat energy savings if no consumption of heat energy is available</t>
  </si>
  <si>
    <t>A</t>
  </si>
  <si>
    <t>11 to 20 flats</t>
  </si>
  <si>
    <t>B</t>
  </si>
  <si>
    <t>C</t>
  </si>
  <si>
    <t>D</t>
  </si>
  <si>
    <t>more than 20 flats</t>
  </si>
  <si>
    <t>Inserted value: No.of flats</t>
  </si>
  <si>
    <t>inserted heat energy consumption (if it`s negative, the average value is used)</t>
  </si>
  <si>
    <t xml:space="preserve">used value for calculation of heat energy savings if there is no data from the bill </t>
  </si>
  <si>
    <t>Supplier</t>
  </si>
  <si>
    <t>X</t>
  </si>
  <si>
    <t>LED 1 (? W), bulb socket type?</t>
  </si>
  <si>
    <t>Y</t>
  </si>
  <si>
    <t>LED 2 (? W), bulb socket type?</t>
  </si>
  <si>
    <t>Z</t>
  </si>
  <si>
    <t>LED 3 (? W), bulb socket type?</t>
  </si>
  <si>
    <t>Switchable power strip</t>
  </si>
  <si>
    <t>Switchable power strip 3  black/white</t>
  </si>
  <si>
    <t>Tap aerator and efficient shower head</t>
  </si>
  <si>
    <t xml:space="preserve">shower </t>
  </si>
  <si>
    <t>Efficient shower head</t>
  </si>
  <si>
    <t>Tap aerator M24 (flow ? l/min)</t>
  </si>
  <si>
    <t>Tap aerator M22 (flow ? l/min)</t>
  </si>
  <si>
    <t>Sealing tape for windows and doors &amp; Windstopper for doors</t>
  </si>
  <si>
    <t>price per meter</t>
  </si>
  <si>
    <t>Sealing tape for windows and doors - ? mm</t>
  </si>
  <si>
    <t>price per m²</t>
  </si>
  <si>
    <t>price per meter of per door (1m)</t>
  </si>
  <si>
    <t>Windstopper for doors</t>
  </si>
  <si>
    <t>Reflective panel</t>
  </si>
  <si>
    <t>EnergySavingCheck 4.0, 09/2020</t>
  </si>
  <si>
    <t>This Calculation tool is developed by Caritasverband Frankfurt e.V., Germany (Elke Dünnhoff, Reinhold Hufgard) for the EU-Project ACHIEVE.</t>
  </si>
  <si>
    <t>It has been adjusted by Focus Association for Sustainable Development (Slovenia) for the purposes of using it for EmpowerMed project.</t>
  </si>
  <si>
    <t>The tool is based on the calculation tool of the Cariteam Energiesparservice of the Caritasverband Frankfurt e.V., a job offer project for</t>
  </si>
  <si>
    <t>long term unemployed people. The aim was to make the data collection as simple as possible that the tool can be used by non-professionals</t>
  </si>
  <si>
    <t>after a special training.</t>
  </si>
  <si>
    <t xml:space="preserve">© All rights by Caritasverband Frankfurt e.V. It can be used for free in the nonprofit sector.  </t>
  </si>
  <si>
    <t>If have any questions or feedback, please contact: energiesparservice@caritas-frankfurt.de</t>
  </si>
  <si>
    <t xml:space="preserve">Energiesparservice </t>
  </si>
  <si>
    <t xml:space="preserve">Caritasverband Frankfurt e.V. </t>
  </si>
  <si>
    <t xml:space="preserve">This project has received funding from the European Union’s Horizon 2020 research and innovation program under grant agreement No 847052. The sole responsibility for the content of this document lies with the authors. It does not necessarily reflect the opinion of the European Union. Neither the EASME nor the European Commission are responsible for any use that may be made of the information contained therein. </t>
  </si>
  <si>
    <t>Manual: How to work with the EnergySaving Check 3.0</t>
  </si>
  <si>
    <t xml:space="preserve">The EnergySavingCheck 3.0 is developed with Office /EXCEL 2003. We suggest not to save it in a higher version </t>
  </si>
  <si>
    <t>Please do not to delete any rows! It can destroy some formulars and links.</t>
  </si>
  <si>
    <t xml:space="preserve">Always keep a “master-file” you never change. If you want to fill in data for a new advice, make a copy and save it (e.g. with the customer-ID in the filename). There are some cells which formulars which will be destroyed if you insert data in the cell (but you should do it if this data is available)   </t>
  </si>
  <si>
    <t xml:space="preserve"> yellow boxes = input boxes</t>
  </si>
  <si>
    <t xml:space="preserve"> orange boxes = results</t>
  </si>
  <si>
    <t xml:space="preserve"> green boxes (in yellow sheet "data…") need actuall / fitting data for the country</t>
  </si>
  <si>
    <t xml:space="preserve">Make sure that all the cells have the necessary information and additional remarks /hints are given. Some data are very important for the calculations (e.g. number of persons, m² of the flat, all prices, consumption of electricity and water, size of the building if no consumption of heat energy is available). </t>
  </si>
  <si>
    <t>If no consumption of electricity is available, you can try to calculate the consumption by the amount of money the household pay every month and / or try to calculaute the consumption by the consumption of the devices /appliances in the household (see data collection sheet). We suggest the same for water. If no consumption of heat energy is available, the average consumption will be taken to calculate the savings.</t>
  </si>
  <si>
    <t>Check in the sheet “overview” if the savings are possible (line 39) and not higher then xx % of the total consumption.</t>
  </si>
  <si>
    <t>Hide all the lines in the report which are empty and check the layout of the pages.</t>
  </si>
  <si>
    <t>Before the household get the report, it should be checked by an expert.</t>
  </si>
  <si>
    <t>Add the sheets for data collection of electricity and water (with the overview of the devices and calculated consumption) to the report. This is a very interesting information or the household as well.</t>
  </si>
  <si>
    <r>
      <rPr>
        <sz val="10"/>
        <rFont val="Arial"/>
        <family val="2"/>
      </rPr>
      <t xml:space="preserve">Note: The savings of heat energy in multifamily houses for central heating systems or distrct heating (if there is a meter for the household!) depend on the billing system.  E.g. in Germany, the part of the bill which is based of the consumption for this heating systems is between 50% - 70%, the rest is based on the size of the flat. So the </t>
    </r>
    <r>
      <rPr>
        <u val="single"/>
        <sz val="10"/>
        <rFont val="Arial"/>
        <family val="2"/>
      </rPr>
      <t>cost</t>
    </r>
    <r>
      <rPr>
        <sz val="10"/>
        <rFont val="Arial"/>
        <family val="2"/>
      </rPr>
      <t xml:space="preserve"> savings for these household can be lower than the results show.  </t>
    </r>
  </si>
  <si>
    <t xml:space="preserve">The data for the evaluation will automatically be written in the sheet “evaluation” in one line. If you have completed the file, copy this line into another sheet. In this sheet you should save all the data in lines. Here you can calculate e.g. average savings, total savings, the number of CFL`s your team has installed etc. </t>
  </si>
  <si>
    <t>Data protection: You will save a lot of personal data. Make sure that nobody else has acess to this data. Protect the data in line with EmpowerMed Data Management Plan and national legislation.</t>
  </si>
</sst>
</file>

<file path=xl/styles.xml><?xml version="1.0" encoding="utf-8"?>
<styleSheet xmlns="http://schemas.openxmlformats.org/spreadsheetml/2006/main">
  <numFmts count="27">
    <numFmt numFmtId="164" formatCode="General"/>
    <numFmt numFmtId="165" formatCode="_-* #,##0.00\ _D_M_-;\-* #,##0.00\ _D_M_-;_-* \-??\ _D_M_-;_-@_-"/>
    <numFmt numFmtId="166" formatCode="_-* #,##0.00&quot; €&quot;_-;\-* #,##0.00&quot; €&quot;_-;_-* \-??&quot; €&quot;_-;_-@_-"/>
    <numFmt numFmtId="167" formatCode="dd/\ mm/\ yyyy"/>
    <numFmt numFmtId="168" formatCode="0.00"/>
    <numFmt numFmtId="169" formatCode="dd/\ mmm"/>
    <numFmt numFmtId="170" formatCode="General"/>
    <numFmt numFmtId="171" formatCode="0"/>
    <numFmt numFmtId="172" formatCode="_-* #,##0.000000\ _D_M_-;\-* #,##0.000000\ _D_M_-;_-* \-??\ _D_M_-;_-@_-"/>
    <numFmt numFmtId="173" formatCode="#,##0.00&quot; €&quot;"/>
    <numFmt numFmtId="174" formatCode="#,##0"/>
    <numFmt numFmtId="175" formatCode="0\ %"/>
    <numFmt numFmtId="176" formatCode="0;[RED]0"/>
    <numFmt numFmtId="177" formatCode="0.0"/>
    <numFmt numFmtId="178" formatCode="0.000"/>
    <numFmt numFmtId="179" formatCode="#,##0.00"/>
    <numFmt numFmtId="180" formatCode="#,##0&quot; kWh&quot;"/>
    <numFmt numFmtId="181" formatCode="#,##0&quot; €&quot;"/>
    <numFmt numFmtId="182" formatCode="#,##0.00&quot; €&quot;;[RED]\-#,##0.00&quot; €&quot;"/>
    <numFmt numFmtId="183" formatCode="0.0%"/>
    <numFmt numFmtId="184" formatCode="dd/mm/yy;@"/>
    <numFmt numFmtId="185" formatCode="#,##0.00\ [$€-424];[RED]\-#,##0.00\ [$€-424]"/>
    <numFmt numFmtId="186" formatCode="#,##0.00\ _€"/>
    <numFmt numFmtId="187" formatCode="@"/>
    <numFmt numFmtId="188" formatCode="_-* #,##0.00\ _л_в_-;\-* #,##0.00\ _л_в_-;_-* \-??\ _л_в_-;_-@_-"/>
    <numFmt numFmtId="189" formatCode="0.00\ %"/>
    <numFmt numFmtId="190" formatCode="mm/yy"/>
  </numFmts>
  <fonts count="56">
    <font>
      <sz val="10"/>
      <name val="Arial"/>
      <family val="2"/>
    </font>
    <font>
      <b/>
      <sz val="18"/>
      <name val="Arial"/>
      <family val="2"/>
    </font>
    <font>
      <b/>
      <sz val="18"/>
      <color indexed="62"/>
      <name val="Arial"/>
      <family val="2"/>
    </font>
    <font>
      <sz val="8"/>
      <name val="Arial"/>
      <family val="2"/>
    </font>
    <font>
      <b/>
      <sz val="12"/>
      <name val="Arial"/>
      <family val="2"/>
    </font>
    <font>
      <b/>
      <sz val="8"/>
      <name val="Arial"/>
      <family val="2"/>
    </font>
    <font>
      <b/>
      <sz val="9"/>
      <name val="Arial"/>
      <family val="2"/>
    </font>
    <font>
      <sz val="10"/>
      <color indexed="50"/>
      <name val="Arial"/>
      <family val="2"/>
    </font>
    <font>
      <sz val="8"/>
      <color indexed="10"/>
      <name val="Arial"/>
      <family val="2"/>
    </font>
    <font>
      <sz val="9"/>
      <name val="Arial"/>
      <family val="2"/>
    </font>
    <font>
      <sz val="10"/>
      <color indexed="10"/>
      <name val="Arial"/>
      <family val="2"/>
    </font>
    <font>
      <b/>
      <sz val="8"/>
      <color indexed="10"/>
      <name val="Arial"/>
      <family val="2"/>
    </font>
    <font>
      <sz val="7.5"/>
      <name val="Arial"/>
      <family val="2"/>
    </font>
    <font>
      <i/>
      <sz val="8"/>
      <name val="Arial"/>
      <family val="2"/>
    </font>
    <font>
      <sz val="6"/>
      <name val="Arial"/>
      <family val="2"/>
    </font>
    <font>
      <sz val="7"/>
      <name val="Arial"/>
      <family val="2"/>
    </font>
    <font>
      <b/>
      <sz val="10"/>
      <color indexed="11"/>
      <name val="Arial"/>
      <family val="2"/>
    </font>
    <font>
      <sz val="12"/>
      <name val="Arial"/>
      <family val="2"/>
    </font>
    <font>
      <i/>
      <sz val="8"/>
      <color indexed="50"/>
      <name val="Arial"/>
      <family val="2"/>
    </font>
    <font>
      <i/>
      <sz val="8"/>
      <color indexed="10"/>
      <name val="Arial"/>
      <family val="2"/>
    </font>
    <font>
      <sz val="8"/>
      <color indexed="50"/>
      <name val="Arial"/>
      <family val="2"/>
    </font>
    <font>
      <sz val="10"/>
      <color indexed="11"/>
      <name val="Arial"/>
      <family val="2"/>
    </font>
    <font>
      <b/>
      <sz val="10"/>
      <name val="Arial"/>
      <family val="2"/>
    </font>
    <font>
      <i/>
      <sz val="10"/>
      <color indexed="10"/>
      <name val="Arial"/>
      <family val="2"/>
    </font>
    <font>
      <i/>
      <sz val="10"/>
      <color indexed="50"/>
      <name val="Arial"/>
      <family val="2"/>
    </font>
    <font>
      <i/>
      <sz val="10"/>
      <name val="Arial"/>
      <family val="2"/>
    </font>
    <font>
      <sz val="11"/>
      <name val="Arial"/>
      <family val="2"/>
    </font>
    <font>
      <b/>
      <sz val="11"/>
      <name val="Arial"/>
      <family val="2"/>
    </font>
    <font>
      <b/>
      <sz val="7"/>
      <name val="Arial"/>
      <family val="2"/>
    </font>
    <font>
      <sz val="8"/>
      <name val="Comic Sans MS"/>
      <family val="4"/>
    </font>
    <font>
      <sz val="10"/>
      <color indexed="12"/>
      <name val="Arial"/>
      <family val="2"/>
    </font>
    <font>
      <b/>
      <sz val="8"/>
      <color indexed="12"/>
      <name val="Arial"/>
      <family val="2"/>
    </font>
    <font>
      <b/>
      <sz val="10"/>
      <color indexed="8"/>
      <name val="Tahoma"/>
      <family val="2"/>
    </font>
    <font>
      <sz val="10"/>
      <color indexed="8"/>
      <name val="Tahoma"/>
      <family val="2"/>
    </font>
    <font>
      <u val="single"/>
      <sz val="10"/>
      <name val="Arial"/>
      <family val="2"/>
    </font>
    <font>
      <u val="single"/>
      <sz val="8"/>
      <name val="Arial"/>
      <family val="2"/>
    </font>
    <font>
      <b/>
      <sz val="12"/>
      <color indexed="10"/>
      <name val="Arial"/>
      <family val="2"/>
    </font>
    <font>
      <vertAlign val="subscript"/>
      <sz val="9"/>
      <name val="Arial"/>
      <family val="2"/>
    </font>
    <font>
      <sz val="9"/>
      <color indexed="10"/>
      <name val="Arial"/>
      <family val="2"/>
    </font>
    <font>
      <b/>
      <sz val="9"/>
      <color indexed="10"/>
      <name val="Arial"/>
      <family val="2"/>
    </font>
    <font>
      <i/>
      <sz val="9"/>
      <name val="Arial"/>
      <family val="2"/>
    </font>
    <font>
      <sz val="11"/>
      <color indexed="12"/>
      <name val="Arial"/>
      <family val="2"/>
    </font>
    <font>
      <vertAlign val="subscript"/>
      <sz val="10"/>
      <name val="Arial"/>
      <family val="2"/>
    </font>
    <font>
      <sz val="10.7"/>
      <name val="Arial"/>
      <family val="2"/>
    </font>
    <font>
      <sz val="8.5"/>
      <name val="Arial"/>
      <family val="2"/>
    </font>
    <font>
      <sz val="9"/>
      <color indexed="50"/>
      <name val="Arial"/>
      <family val="2"/>
    </font>
    <font>
      <b/>
      <sz val="14"/>
      <name val="Arial"/>
      <family val="2"/>
    </font>
    <font>
      <sz val="11"/>
      <name val="Lucida Handwriting"/>
      <family val="4"/>
    </font>
    <font>
      <sz val="16"/>
      <name val="Arial"/>
      <family val="2"/>
    </font>
    <font>
      <sz val="11"/>
      <color indexed="8"/>
      <name val="Calibri"/>
      <family val="2"/>
    </font>
    <font>
      <sz val="9"/>
      <color indexed="8"/>
      <name val="Calibri"/>
      <family val="2"/>
    </font>
    <font>
      <sz val="8"/>
      <color indexed="8"/>
      <name val="Calibri"/>
      <family val="2"/>
    </font>
    <font>
      <b/>
      <vertAlign val="subscript"/>
      <sz val="12"/>
      <name val="Arial"/>
      <family val="2"/>
    </font>
    <font>
      <b/>
      <sz val="8"/>
      <color indexed="50"/>
      <name val="Arial"/>
      <family val="2"/>
    </font>
    <font>
      <b/>
      <sz val="10"/>
      <color indexed="23"/>
      <name val="Arial"/>
      <family val="2"/>
    </font>
    <font>
      <sz val="10"/>
      <name val="Wingdings"/>
      <family val="0"/>
    </font>
  </fonts>
  <fills count="23">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10"/>
        <bgColor indexed="64"/>
      </patternFill>
    </fill>
    <fill>
      <patternFill patternType="solid">
        <fgColor indexed="34"/>
        <bgColor indexed="64"/>
      </patternFill>
    </fill>
    <fill>
      <patternFill patternType="solid">
        <fgColor indexed="13"/>
        <bgColor indexed="64"/>
      </patternFill>
    </fill>
    <fill>
      <patternFill patternType="solid">
        <fgColor indexed="40"/>
        <bgColor indexed="64"/>
      </patternFill>
    </fill>
    <fill>
      <patternFill patternType="solid">
        <fgColor indexed="24"/>
        <bgColor indexed="64"/>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19"/>
        <bgColor indexed="64"/>
      </patternFill>
    </fill>
    <fill>
      <patternFill patternType="solid">
        <fgColor indexed="15"/>
        <bgColor indexed="64"/>
      </patternFill>
    </fill>
    <fill>
      <patternFill patternType="solid">
        <fgColor indexed="41"/>
        <bgColor indexed="64"/>
      </patternFill>
    </fill>
  </fills>
  <borders count="110">
    <border>
      <left/>
      <right/>
      <top/>
      <bottom/>
      <diagonal/>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style="hair">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56"/>
      </left>
      <right style="thin">
        <color indexed="56"/>
      </right>
      <top style="thin">
        <color indexed="56"/>
      </top>
      <bottom style="thin">
        <color indexed="56"/>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color indexed="63"/>
      </bottom>
    </border>
    <border>
      <left style="thin">
        <color indexed="8"/>
      </left>
      <right style="hair">
        <color indexed="8"/>
      </right>
      <top style="thin">
        <color indexed="8"/>
      </top>
      <bottom style="thin">
        <color indexed="8"/>
      </bottom>
    </border>
    <border>
      <left style="thin">
        <color indexed="63"/>
      </left>
      <right style="thin">
        <color indexed="63"/>
      </right>
      <top style="thin">
        <color indexed="63"/>
      </top>
      <bottom style="thin">
        <color indexed="63"/>
      </bottom>
    </border>
    <border>
      <left>
        <color indexed="63"/>
      </left>
      <right style="thin">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style="hair">
        <color indexed="8"/>
      </bottom>
    </border>
    <border>
      <left>
        <color indexed="63"/>
      </left>
      <right style="hair">
        <color indexed="8"/>
      </right>
      <top>
        <color indexed="63"/>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hair">
        <color indexed="8"/>
      </left>
      <right style="hair">
        <color indexed="8"/>
      </right>
      <top style="thin">
        <color indexed="8"/>
      </top>
      <bottom style="thin">
        <color indexed="8"/>
      </bottom>
    </border>
    <border>
      <left style="hair">
        <color indexed="8"/>
      </left>
      <right style="hair">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hair">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thin">
        <color indexed="58"/>
      </left>
      <right style="thin">
        <color indexed="58"/>
      </right>
      <top style="thin">
        <color indexed="58"/>
      </top>
      <bottom>
        <color indexed="63"/>
      </bottom>
    </border>
    <border>
      <left style="thin">
        <color indexed="58"/>
      </left>
      <right style="thin">
        <color indexed="58"/>
      </right>
      <top style="thin">
        <color indexed="58"/>
      </top>
      <bottom style="thin">
        <color indexed="58"/>
      </bottom>
    </border>
    <border>
      <left>
        <color indexed="63"/>
      </left>
      <right>
        <color indexed="63"/>
      </right>
      <top style="thin">
        <color indexed="59"/>
      </top>
      <bottom style="thin">
        <color indexed="59"/>
      </bottom>
    </border>
    <border>
      <left style="thin">
        <color indexed="56"/>
      </left>
      <right style="thin">
        <color indexed="56"/>
      </right>
      <top style="thin">
        <color indexed="56"/>
      </top>
      <bottom>
        <color indexed="63"/>
      </bottom>
    </border>
    <border>
      <left style="thin">
        <color indexed="56"/>
      </left>
      <right style="thin">
        <color indexed="56"/>
      </right>
      <top>
        <color indexed="63"/>
      </top>
      <bottom style="thin">
        <color indexed="56"/>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55"/>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thin">
        <color indexed="55"/>
      </right>
      <top style="hair">
        <color indexed="55"/>
      </top>
      <bottom>
        <color indexed="63"/>
      </bottom>
    </border>
    <border>
      <left style="thin">
        <color indexed="63"/>
      </left>
      <right style="medium">
        <color indexed="63"/>
      </right>
      <top style="thin">
        <color indexed="63"/>
      </top>
      <bottom style="thin">
        <color indexed="63"/>
      </bottom>
    </border>
    <border>
      <left style="medium">
        <color indexed="63"/>
      </left>
      <right style="medium">
        <color indexed="63"/>
      </right>
      <top style="medium">
        <color indexed="63"/>
      </top>
      <bottom style="medium">
        <color indexed="63"/>
      </bottom>
    </border>
    <border>
      <left style="thin">
        <color indexed="22"/>
      </left>
      <right style="thin">
        <color indexed="22"/>
      </right>
      <top>
        <color indexed="63"/>
      </top>
      <bottom style="thin">
        <color indexed="22"/>
      </bottom>
    </border>
    <border>
      <left>
        <color indexed="63"/>
      </left>
      <right>
        <color indexed="63"/>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style="hair">
        <color indexed="8"/>
      </left>
      <right>
        <color indexed="63"/>
      </right>
      <top>
        <color indexed="63"/>
      </top>
      <bottom>
        <color indexed="63"/>
      </bottom>
    </border>
    <border>
      <left style="hair">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hair">
        <color indexed="8"/>
      </left>
      <right style="thin">
        <color indexed="8"/>
      </right>
      <top style="thin">
        <color indexed="8"/>
      </top>
      <bottom style="hair">
        <color indexed="8"/>
      </bottom>
    </border>
    <border>
      <left>
        <color indexed="63"/>
      </left>
      <right>
        <color indexed="63"/>
      </right>
      <top>
        <color indexed="63"/>
      </top>
      <bottom style="hair">
        <color indexed="8"/>
      </bottom>
    </border>
    <border>
      <left>
        <color indexed="63"/>
      </left>
      <right style="thin">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lignment/>
      <protection/>
    </xf>
    <xf numFmtId="166" fontId="0" fillId="0" borderId="0">
      <alignment/>
      <protection/>
    </xf>
    <xf numFmtId="164" fontId="0" fillId="2" borderId="1" applyNumberFormat="0" applyAlignment="0" applyProtection="0"/>
    <xf numFmtId="164" fontId="49" fillId="3" borderId="0" applyNumberFormat="0" applyBorder="0" applyAlignment="0" applyProtection="0"/>
  </cellStyleXfs>
  <cellXfs count="1124">
    <xf numFmtId="164" fontId="0" fillId="0" borderId="0" xfId="0" applyAlignment="1">
      <alignment/>
    </xf>
    <xf numFmtId="164" fontId="0" fillId="0" borderId="0" xfId="0" applyFont="1" applyAlignment="1">
      <alignment vertical="center"/>
    </xf>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Alignment="1">
      <alignment vertical="center"/>
    </xf>
    <xf numFmtId="164" fontId="4" fillId="0" borderId="0" xfId="0" applyFont="1" applyAlignment="1">
      <alignment vertical="center"/>
    </xf>
    <xf numFmtId="164" fontId="5" fillId="0" borderId="2" xfId="0" applyFont="1" applyBorder="1" applyAlignment="1">
      <alignment horizontal="center" vertical="center"/>
    </xf>
    <xf numFmtId="164" fontId="5" fillId="0" borderId="3" xfId="0" applyFont="1" applyBorder="1" applyAlignment="1">
      <alignment horizontal="left" vertical="center"/>
    </xf>
    <xf numFmtId="164" fontId="3" fillId="0" borderId="3" xfId="0" applyFont="1" applyBorder="1" applyAlignment="1">
      <alignment horizontal="right" vertical="center"/>
    </xf>
    <xf numFmtId="164" fontId="6" fillId="4" borderId="4" xfId="0" applyFont="1" applyFill="1" applyBorder="1" applyAlignment="1" applyProtection="1">
      <alignment horizontal="left" vertical="center"/>
      <protection locked="0"/>
    </xf>
    <xf numFmtId="164" fontId="0" fillId="0" borderId="0" xfId="0" applyFont="1" applyBorder="1" applyAlignment="1">
      <alignment vertical="center"/>
    </xf>
    <xf numFmtId="164" fontId="3" fillId="0" borderId="5" xfId="0" applyFont="1" applyBorder="1" applyAlignment="1">
      <alignment horizontal="right" vertical="center"/>
    </xf>
    <xf numFmtId="167" fontId="5" fillId="4" borderId="4" xfId="0" applyNumberFormat="1" applyFont="1" applyFill="1" applyBorder="1" applyAlignment="1" applyProtection="1">
      <alignment horizontal="center" vertical="center"/>
      <protection locked="0"/>
    </xf>
    <xf numFmtId="164" fontId="0" fillId="0" borderId="0" xfId="0" applyFont="1" applyAlignment="1">
      <alignment horizontal="center" vertical="center"/>
    </xf>
    <xf numFmtId="164" fontId="3" fillId="0" borderId="4" xfId="0" applyFont="1" applyFill="1" applyBorder="1" applyAlignment="1">
      <alignment horizontal="right" vertical="center"/>
    </xf>
    <xf numFmtId="164" fontId="6" fillId="4" borderId="2" xfId="0" applyFont="1" applyFill="1" applyBorder="1" applyAlignment="1" applyProtection="1">
      <alignment horizontal="left" vertical="center"/>
      <protection locked="0"/>
    </xf>
    <xf numFmtId="164" fontId="3" fillId="0" borderId="6" xfId="0" applyFont="1" applyFill="1" applyBorder="1" applyAlignment="1">
      <alignment horizontal="left" vertical="center"/>
    </xf>
    <xf numFmtId="164" fontId="3" fillId="0" borderId="7" xfId="0" applyFont="1" applyFill="1" applyBorder="1" applyAlignment="1">
      <alignment horizontal="right"/>
    </xf>
    <xf numFmtId="164" fontId="7" fillId="0" borderId="0" xfId="0" applyFont="1" applyAlignment="1">
      <alignment vertical="center"/>
    </xf>
    <xf numFmtId="164" fontId="3" fillId="0" borderId="4" xfId="0" applyFont="1" applyBorder="1" applyAlignment="1">
      <alignment horizontal="right" vertical="center"/>
    </xf>
    <xf numFmtId="164" fontId="3" fillId="0" borderId="6" xfId="0" applyFont="1" applyFill="1" applyBorder="1" applyAlignment="1">
      <alignment horizontal="right" vertical="center"/>
    </xf>
    <xf numFmtId="164" fontId="8" fillId="0" borderId="2" xfId="0" applyFont="1" applyFill="1" applyBorder="1" applyAlignment="1">
      <alignment horizontal="right" vertical="center"/>
    </xf>
    <xf numFmtId="164" fontId="8" fillId="0" borderId="3" xfId="0" applyFont="1" applyFill="1" applyBorder="1" applyAlignment="1">
      <alignment horizontal="right" vertical="center"/>
    </xf>
    <xf numFmtId="164" fontId="9" fillId="0" borderId="0" xfId="0" applyFont="1" applyFill="1" applyBorder="1" applyAlignment="1">
      <alignment vertical="center"/>
    </xf>
    <xf numFmtId="164" fontId="9" fillId="0" borderId="0" xfId="0" applyFont="1" applyFill="1" applyBorder="1" applyAlignment="1" applyProtection="1">
      <alignment vertical="center"/>
      <protection/>
    </xf>
    <xf numFmtId="167" fontId="9" fillId="0" borderId="0" xfId="0" applyNumberFormat="1" applyFont="1" applyFill="1" applyBorder="1" applyAlignment="1">
      <alignment vertical="center"/>
    </xf>
    <xf numFmtId="164" fontId="3" fillId="0" borderId="2" xfId="0" applyFont="1" applyFill="1" applyBorder="1" applyAlignment="1">
      <alignment horizontal="right" vertical="center"/>
    </xf>
    <xf numFmtId="164" fontId="9" fillId="0" borderId="0" xfId="0" applyFont="1" applyAlignment="1">
      <alignment vertical="center"/>
    </xf>
    <xf numFmtId="164" fontId="6" fillId="4" borderId="6" xfId="0" applyFont="1" applyFill="1" applyBorder="1" applyAlignment="1" applyProtection="1">
      <alignment horizontal="center" vertical="center"/>
      <protection locked="0"/>
    </xf>
    <xf numFmtId="164" fontId="3" fillId="0" borderId="8" xfId="0" applyFont="1" applyBorder="1" applyAlignment="1">
      <alignment horizontal="left" vertical="center"/>
    </xf>
    <xf numFmtId="164" fontId="3" fillId="4" borderId="8" xfId="0" applyFont="1" applyFill="1" applyBorder="1" applyAlignment="1">
      <alignment horizontal="center" vertical="center"/>
    </xf>
    <xf numFmtId="164" fontId="5" fillId="0" borderId="0" xfId="0" applyFont="1" applyAlignment="1">
      <alignment vertical="center"/>
    </xf>
    <xf numFmtId="164" fontId="3" fillId="4" borderId="4" xfId="0" applyFont="1" applyFill="1" applyBorder="1" applyAlignment="1">
      <alignment horizontal="left" vertical="top" wrapText="1"/>
    </xf>
    <xf numFmtId="168" fontId="0" fillId="0" borderId="0" xfId="0" applyNumberFormat="1" applyFont="1" applyAlignment="1">
      <alignment vertical="center"/>
    </xf>
    <xf numFmtId="164" fontId="0" fillId="0" borderId="0" xfId="0" applyFont="1" applyFill="1" applyAlignment="1">
      <alignment/>
    </xf>
    <xf numFmtId="164" fontId="1" fillId="0" borderId="0" xfId="0" applyFont="1" applyFill="1" applyAlignment="1">
      <alignment/>
    </xf>
    <xf numFmtId="164" fontId="10" fillId="0" borderId="0" xfId="0" applyFont="1" applyBorder="1" applyAlignment="1">
      <alignment vertical="center"/>
    </xf>
    <xf numFmtId="164" fontId="0" fillId="0" borderId="0" xfId="0" applyFont="1" applyFill="1" applyAlignment="1" applyProtection="1">
      <alignment horizontal="center" vertical="center"/>
      <protection locked="0"/>
    </xf>
    <xf numFmtId="164" fontId="0" fillId="0" borderId="0" xfId="0" applyFont="1" applyAlignment="1" applyProtection="1">
      <alignment horizontal="center" vertical="center"/>
      <protection locked="0"/>
    </xf>
    <xf numFmtId="167" fontId="0" fillId="0" borderId="0" xfId="0" applyNumberFormat="1" applyFont="1" applyAlignment="1" applyProtection="1">
      <alignment horizontal="left" vertical="center"/>
      <protection locked="0"/>
    </xf>
    <xf numFmtId="164" fontId="3" fillId="0" borderId="0" xfId="0" applyFont="1" applyAlignment="1" applyProtection="1">
      <alignment vertical="center"/>
      <protection locked="0"/>
    </xf>
    <xf numFmtId="164" fontId="0" fillId="3" borderId="0" xfId="0" applyFont="1" applyFill="1" applyAlignment="1">
      <alignment vertical="center"/>
    </xf>
    <xf numFmtId="164" fontId="0" fillId="0" borderId="0" xfId="0" applyFont="1" applyAlignment="1">
      <alignment horizontal="left" vertical="center"/>
    </xf>
    <xf numFmtId="164" fontId="3" fillId="0" borderId="0" xfId="0" applyFont="1" applyFill="1" applyBorder="1" applyAlignment="1">
      <alignment vertical="center"/>
    </xf>
    <xf numFmtId="164" fontId="0" fillId="0" borderId="0" xfId="0" applyFont="1" applyFill="1" applyBorder="1" applyAlignment="1" applyProtection="1">
      <alignment vertical="center"/>
      <protection/>
    </xf>
    <xf numFmtId="164" fontId="3" fillId="0" borderId="0" xfId="0" applyFont="1" applyFill="1" applyBorder="1" applyAlignment="1">
      <alignment horizontal="right" vertical="center"/>
    </xf>
    <xf numFmtId="164" fontId="3" fillId="4" borderId="4" xfId="0" applyFont="1" applyFill="1" applyBorder="1" applyAlignment="1">
      <alignment horizontal="center" vertical="center"/>
    </xf>
    <xf numFmtId="164" fontId="3" fillId="0" borderId="0" xfId="0" applyFont="1" applyAlignment="1">
      <alignment horizontal="left" vertical="center"/>
    </xf>
    <xf numFmtId="164" fontId="0" fillId="0" borderId="0" xfId="0" applyFont="1" applyFill="1" applyAlignment="1">
      <alignment vertical="center"/>
    </xf>
    <xf numFmtId="167" fontId="0" fillId="0" borderId="0" xfId="0" applyNumberFormat="1" applyFont="1" applyFill="1" applyBorder="1" applyAlignment="1">
      <alignment vertical="center"/>
    </xf>
    <xf numFmtId="164" fontId="5" fillId="4" borderId="4" xfId="0" applyFont="1" applyFill="1" applyBorder="1" applyAlignment="1">
      <alignment horizontal="center" vertical="center"/>
    </xf>
    <xf numFmtId="164" fontId="3" fillId="0" borderId="0" xfId="0" applyFont="1" applyAlignment="1" applyProtection="1">
      <alignment horizontal="left" vertical="center"/>
      <protection/>
    </xf>
    <xf numFmtId="164" fontId="4" fillId="0" borderId="0" xfId="0" applyFont="1" applyFill="1" applyBorder="1" applyAlignment="1">
      <alignment vertical="center"/>
    </xf>
    <xf numFmtId="164" fontId="11" fillId="0" borderId="0" xfId="0" applyFont="1" applyAlignment="1" applyProtection="1">
      <alignment vertical="center"/>
      <protection/>
    </xf>
    <xf numFmtId="169" fontId="11" fillId="0" borderId="0" xfId="0" applyNumberFormat="1" applyFont="1" applyAlignment="1" applyProtection="1">
      <alignment vertical="center"/>
      <protection/>
    </xf>
    <xf numFmtId="164" fontId="3" fillId="0" borderId="0" xfId="0" applyFont="1" applyAlignment="1" applyProtection="1">
      <alignment vertical="center"/>
      <protection/>
    </xf>
    <xf numFmtId="164" fontId="12" fillId="0" borderId="0" xfId="0" applyFont="1" applyFill="1" applyBorder="1" applyAlignment="1" applyProtection="1">
      <alignment horizontal="right" vertical="center"/>
      <protection/>
    </xf>
    <xf numFmtId="164" fontId="5" fillId="4" borderId="4" xfId="0" applyFont="1" applyFill="1" applyBorder="1" applyAlignment="1" applyProtection="1">
      <alignment horizontal="center" vertical="center"/>
      <protection/>
    </xf>
    <xf numFmtId="164" fontId="3" fillId="0" borderId="0" xfId="0" applyFont="1" applyFill="1" applyBorder="1" applyAlignment="1" applyProtection="1">
      <alignment vertical="center"/>
      <protection/>
    </xf>
    <xf numFmtId="164" fontId="3" fillId="0" borderId="0" xfId="0" applyFont="1" applyFill="1" applyAlignment="1" applyProtection="1">
      <alignment vertical="center"/>
      <protection/>
    </xf>
    <xf numFmtId="164" fontId="3" fillId="0" borderId="0" xfId="0" applyFont="1" applyAlignment="1" applyProtection="1">
      <alignment horizontal="right" vertical="center"/>
      <protection/>
    </xf>
    <xf numFmtId="164" fontId="3" fillId="0" borderId="0" xfId="0" applyFont="1" applyAlignment="1">
      <alignment/>
    </xf>
    <xf numFmtId="169" fontId="3" fillId="0" borderId="0" xfId="0" applyNumberFormat="1" applyFont="1" applyAlignment="1" applyProtection="1">
      <alignment vertical="center"/>
      <protection/>
    </xf>
    <xf numFmtId="164" fontId="3" fillId="0" borderId="0" xfId="0" applyNumberFormat="1" applyFont="1" applyBorder="1" applyAlignment="1" applyProtection="1">
      <alignment vertical="center"/>
      <protection/>
    </xf>
    <xf numFmtId="168" fontId="3" fillId="0" borderId="0" xfId="0" applyNumberFormat="1" applyFont="1" applyAlignment="1" applyProtection="1">
      <alignment vertical="center"/>
      <protection/>
    </xf>
    <xf numFmtId="164" fontId="5" fillId="0" borderId="0" xfId="0" applyFont="1" applyFill="1" applyBorder="1" applyAlignment="1" applyProtection="1">
      <alignment horizontal="center" vertical="center"/>
      <protection locked="0"/>
    </xf>
    <xf numFmtId="164" fontId="3" fillId="0" borderId="0" xfId="0" applyFont="1" applyFill="1" applyBorder="1" applyAlignment="1" applyProtection="1">
      <alignment horizontal="left" vertical="center"/>
      <protection/>
    </xf>
    <xf numFmtId="164" fontId="5" fillId="0" borderId="0" xfId="0" applyFont="1" applyAlignment="1" applyProtection="1">
      <alignment horizontal="center" vertical="center"/>
      <protection/>
    </xf>
    <xf numFmtId="164" fontId="5" fillId="0" borderId="0" xfId="0" applyFont="1" applyAlignment="1" applyProtection="1">
      <alignment vertical="center"/>
      <protection/>
    </xf>
    <xf numFmtId="164" fontId="3" fillId="0" borderId="0" xfId="0" applyFont="1" applyFill="1" applyBorder="1" applyAlignment="1" applyProtection="1">
      <alignment horizontal="right" vertical="center"/>
      <protection/>
    </xf>
    <xf numFmtId="164" fontId="13" fillId="0" borderId="0" xfId="0" applyFont="1" applyAlignment="1" applyProtection="1">
      <alignment vertical="center"/>
      <protection/>
    </xf>
    <xf numFmtId="164" fontId="3" fillId="0" borderId="0" xfId="0" applyNumberFormat="1" applyFont="1" applyAlignment="1" applyProtection="1">
      <alignment vertical="center"/>
      <protection/>
    </xf>
    <xf numFmtId="164" fontId="3" fillId="0" borderId="0" xfId="0" applyFont="1" applyAlignment="1">
      <alignment horizontal="right"/>
    </xf>
    <xf numFmtId="164" fontId="3" fillId="0" borderId="0" xfId="0" applyFont="1" applyBorder="1" applyAlignment="1">
      <alignment vertical="center"/>
    </xf>
    <xf numFmtId="164" fontId="14" fillId="0" borderId="0" xfId="0" applyFont="1" applyFill="1" applyBorder="1" applyAlignment="1" applyProtection="1">
      <alignment horizontal="right" vertical="center"/>
      <protection/>
    </xf>
    <xf numFmtId="164" fontId="3" fillId="0" borderId="0" xfId="0" applyFont="1" applyBorder="1" applyAlignment="1" applyProtection="1">
      <alignment vertical="center" wrapText="1"/>
      <protection/>
    </xf>
    <xf numFmtId="164" fontId="12" fillId="0" borderId="0" xfId="0" applyFont="1" applyFill="1" applyBorder="1" applyAlignment="1" applyProtection="1">
      <alignment horizontal="right" vertical="center" wrapText="1"/>
      <protection/>
    </xf>
    <xf numFmtId="171" fontId="5" fillId="4" borderId="4" xfId="0" applyNumberFormat="1" applyFont="1" applyFill="1" applyBorder="1" applyAlignment="1" applyProtection="1">
      <alignment horizontal="center" vertical="center"/>
      <protection locked="0"/>
    </xf>
    <xf numFmtId="164" fontId="3" fillId="0" borderId="0" xfId="0" applyFont="1" applyFill="1" applyBorder="1" applyAlignment="1">
      <alignment horizontal="left" vertical="center"/>
    </xf>
    <xf numFmtId="164" fontId="3" fillId="0" borderId="0" xfId="0" applyFont="1" applyFill="1" applyBorder="1" applyAlignment="1" applyProtection="1">
      <alignment horizontal="right" vertical="center" wrapText="1"/>
      <protection/>
    </xf>
    <xf numFmtId="164" fontId="0" fillId="0" borderId="0" xfId="0" applyFont="1" applyAlignment="1">
      <alignment/>
    </xf>
    <xf numFmtId="164" fontId="0" fillId="0" borderId="0" xfId="0" applyFont="1" applyBorder="1" applyAlignment="1">
      <alignment/>
    </xf>
    <xf numFmtId="164" fontId="8" fillId="0" borderId="0" xfId="0" applyFont="1" applyFill="1" applyBorder="1" applyAlignment="1" applyProtection="1">
      <alignment horizontal="right" vertical="center"/>
      <protection/>
    </xf>
    <xf numFmtId="171" fontId="5" fillId="4" borderId="9" xfId="0" applyNumberFormat="1" applyFont="1" applyFill="1" applyBorder="1" applyAlignment="1" applyProtection="1">
      <alignment horizontal="center" vertical="center"/>
      <protection locked="0"/>
    </xf>
    <xf numFmtId="168" fontId="0" fillId="0" borderId="0" xfId="0" applyNumberFormat="1" applyFont="1" applyBorder="1" applyAlignment="1">
      <alignment vertical="center"/>
    </xf>
    <xf numFmtId="164" fontId="13" fillId="0" borderId="0" xfId="0" applyFont="1" applyBorder="1" applyAlignment="1">
      <alignment vertical="center" wrapText="1"/>
    </xf>
    <xf numFmtId="164" fontId="3" fillId="0" borderId="0" xfId="0" applyFont="1" applyBorder="1" applyAlignment="1">
      <alignment horizontal="right" vertical="center"/>
    </xf>
    <xf numFmtId="164" fontId="15" fillId="0" borderId="0" xfId="0" applyFont="1" applyBorder="1" applyAlignment="1">
      <alignment vertical="center"/>
    </xf>
    <xf numFmtId="171" fontId="3" fillId="4" borderId="9" xfId="0" applyNumberFormat="1" applyFont="1" applyFill="1" applyBorder="1" applyAlignment="1" applyProtection="1">
      <alignment horizontal="center" vertical="center"/>
      <protection locked="0"/>
    </xf>
    <xf numFmtId="164" fontId="3" fillId="0" borderId="0" xfId="0" applyFont="1" applyFill="1" applyAlignment="1">
      <alignment vertical="center"/>
    </xf>
    <xf numFmtId="171" fontId="5" fillId="5" borderId="4" xfId="0" applyNumberFormat="1" applyFont="1" applyFill="1" applyBorder="1" applyAlignment="1">
      <alignment horizontal="center" vertical="center"/>
    </xf>
    <xf numFmtId="164" fontId="16" fillId="0" borderId="0" xfId="0" applyFont="1" applyBorder="1" applyAlignment="1">
      <alignment vertical="center"/>
    </xf>
    <xf numFmtId="172" fontId="3" fillId="0" borderId="0" xfId="20" applyNumberFormat="1" applyFont="1" applyFill="1" applyBorder="1" applyAlignment="1" applyProtection="1">
      <alignment horizontal="right" vertical="center"/>
      <protection/>
    </xf>
    <xf numFmtId="164" fontId="0" fillId="0" borderId="0" xfId="0" applyFont="1" applyFill="1" applyBorder="1" applyAlignment="1">
      <alignment vertical="center"/>
    </xf>
    <xf numFmtId="164" fontId="0" fillId="6" borderId="3" xfId="0" applyFont="1" applyFill="1" applyBorder="1" applyAlignment="1">
      <alignment vertical="center"/>
    </xf>
    <xf numFmtId="164" fontId="0" fillId="6" borderId="3" xfId="0" applyFont="1" applyFill="1" applyBorder="1" applyAlignment="1" applyProtection="1">
      <alignment vertical="center"/>
      <protection/>
    </xf>
    <xf numFmtId="164" fontId="6" fillId="0" borderId="10" xfId="0" applyFont="1" applyFill="1" applyBorder="1" applyAlignment="1">
      <alignment vertical="center"/>
    </xf>
    <xf numFmtId="164" fontId="0" fillId="0" borderId="0" xfId="0" applyFont="1" applyBorder="1" applyAlignment="1" applyProtection="1">
      <alignment vertical="center"/>
      <protection/>
    </xf>
    <xf numFmtId="164" fontId="4" fillId="0" borderId="0" xfId="0" applyFont="1" applyBorder="1" applyAlignment="1" applyProtection="1">
      <alignment vertical="center"/>
      <protection/>
    </xf>
    <xf numFmtId="164" fontId="0" fillId="0" borderId="0" xfId="0" applyFont="1" applyBorder="1" applyAlignment="1" applyProtection="1">
      <alignment horizontal="center" vertical="center"/>
      <protection/>
    </xf>
    <xf numFmtId="164" fontId="17" fillId="0" borderId="0" xfId="0" applyFont="1" applyBorder="1" applyAlignment="1" applyProtection="1">
      <alignment vertical="center"/>
      <protection/>
    </xf>
    <xf numFmtId="164" fontId="0" fillId="0" borderId="0" xfId="0" applyBorder="1" applyAlignment="1">
      <alignment/>
    </xf>
    <xf numFmtId="164" fontId="0" fillId="4" borderId="4" xfId="0" applyFill="1" applyBorder="1" applyAlignment="1">
      <alignment/>
    </xf>
    <xf numFmtId="164" fontId="3" fillId="0" borderId="0" xfId="0" applyFont="1" applyBorder="1" applyAlignment="1">
      <alignment horizontal="right" vertical="center" wrapText="1"/>
    </xf>
    <xf numFmtId="164" fontId="3" fillId="0" borderId="0" xfId="0" applyFont="1" applyBorder="1" applyAlignment="1" applyProtection="1">
      <alignment horizontal="center" vertical="center"/>
      <protection/>
    </xf>
    <xf numFmtId="173" fontId="3" fillId="4" borderId="4" xfId="0" applyNumberFormat="1" applyFont="1" applyFill="1" applyBorder="1" applyAlignment="1" applyProtection="1">
      <alignment horizontal="center" vertical="center"/>
      <protection locked="0"/>
    </xf>
    <xf numFmtId="174" fontId="3" fillId="4" borderId="4" xfId="0" applyNumberFormat="1" applyFont="1" applyFill="1" applyBorder="1" applyAlignment="1" applyProtection="1">
      <alignment horizontal="center" vertical="center"/>
      <protection locked="0"/>
    </xf>
    <xf numFmtId="164" fontId="8" fillId="0" borderId="0" xfId="0" applyFont="1" applyFill="1" applyBorder="1" applyAlignment="1">
      <alignment horizontal="right" vertical="center"/>
    </xf>
    <xf numFmtId="164" fontId="3" fillId="0" borderId="0" xfId="0" applyFont="1" applyBorder="1" applyAlignment="1" applyProtection="1">
      <alignment horizontal="left" vertical="center"/>
      <protection/>
    </xf>
    <xf numFmtId="164" fontId="13" fillId="0" borderId="0" xfId="0" applyFont="1" applyAlignment="1">
      <alignment vertical="center"/>
    </xf>
    <xf numFmtId="164" fontId="5" fillId="0" borderId="0" xfId="0" applyFont="1" applyFill="1" applyBorder="1" applyAlignment="1">
      <alignment vertical="center"/>
    </xf>
    <xf numFmtId="173" fontId="5" fillId="0" borderId="0" xfId="0" applyNumberFormat="1" applyFont="1" applyFill="1" applyBorder="1" applyAlignment="1" applyProtection="1">
      <alignment horizontal="center" vertical="center"/>
      <protection locked="0"/>
    </xf>
    <xf numFmtId="164" fontId="16" fillId="0" borderId="0" xfId="0" applyFont="1" applyFill="1" applyBorder="1" applyAlignment="1">
      <alignment vertical="center"/>
    </xf>
    <xf numFmtId="164" fontId="0" fillId="5" borderId="4" xfId="0" applyNumberFormat="1" applyFont="1" applyFill="1" applyBorder="1" applyAlignment="1">
      <alignment/>
    </xf>
    <xf numFmtId="174" fontId="5" fillId="4" borderId="4" xfId="0" applyNumberFormat="1" applyFont="1" applyFill="1" applyBorder="1" applyAlignment="1" applyProtection="1">
      <alignment horizontal="center" vertical="center"/>
      <protection locked="0"/>
    </xf>
    <xf numFmtId="164" fontId="18" fillId="0" borderId="0" xfId="0" applyFont="1" applyAlignment="1">
      <alignment vertical="center"/>
    </xf>
    <xf numFmtId="164" fontId="0" fillId="0" borderId="11" xfId="0" applyFont="1" applyBorder="1" applyAlignment="1" applyProtection="1">
      <alignment vertical="center"/>
      <protection/>
    </xf>
    <xf numFmtId="164" fontId="0" fillId="0" borderId="12" xfId="0" applyFont="1" applyFill="1" applyBorder="1" applyAlignment="1">
      <alignment vertical="center"/>
    </xf>
    <xf numFmtId="174" fontId="3" fillId="0" borderId="4" xfId="0" applyNumberFormat="1" applyFont="1" applyFill="1" applyBorder="1" applyAlignment="1">
      <alignment horizontal="right" vertical="center"/>
    </xf>
    <xf numFmtId="164" fontId="5" fillId="5" borderId="4" xfId="0" applyNumberFormat="1" applyFont="1" applyFill="1" applyBorder="1" applyAlignment="1">
      <alignment horizontal="center"/>
    </xf>
    <xf numFmtId="164" fontId="5" fillId="7" borderId="4" xfId="0" applyFont="1" applyFill="1" applyBorder="1" applyAlignment="1">
      <alignment horizontal="center" vertical="center"/>
    </xf>
    <xf numFmtId="174" fontId="5" fillId="8" borderId="4" xfId="0" applyNumberFormat="1" applyFont="1" applyFill="1" applyBorder="1" applyAlignment="1">
      <alignment horizontal="center" vertical="center"/>
    </xf>
    <xf numFmtId="164" fontId="0" fillId="0" borderId="13" xfId="0" applyFont="1" applyFill="1" applyBorder="1" applyAlignment="1">
      <alignment vertical="center"/>
    </xf>
    <xf numFmtId="173" fontId="5" fillId="5" borderId="4" xfId="0" applyNumberFormat="1" applyFont="1" applyFill="1" applyBorder="1" applyAlignment="1" applyProtection="1">
      <alignment horizontal="center" vertical="center"/>
      <protection locked="0"/>
    </xf>
    <xf numFmtId="164" fontId="0" fillId="0" borderId="4" xfId="0" applyFont="1" applyFill="1" applyBorder="1" applyAlignment="1" applyProtection="1">
      <alignment horizontal="left" vertical="center"/>
      <protection/>
    </xf>
    <xf numFmtId="164" fontId="3" fillId="5" borderId="0" xfId="0" applyNumberFormat="1" applyFont="1" applyFill="1" applyBorder="1" applyAlignment="1">
      <alignment horizontal="center"/>
    </xf>
    <xf numFmtId="164" fontId="5" fillId="0" borderId="4" xfId="0" applyFont="1" applyFill="1" applyBorder="1" applyAlignment="1">
      <alignment horizontal="right" vertical="center"/>
    </xf>
    <xf numFmtId="164" fontId="5" fillId="0" borderId="4" xfId="0" applyFont="1" applyBorder="1" applyAlignment="1">
      <alignment horizontal="center" vertical="center"/>
    </xf>
    <xf numFmtId="164" fontId="0" fillId="0" borderId="4" xfId="0" applyFont="1" applyBorder="1" applyAlignment="1">
      <alignment horizontal="center" vertical="center"/>
    </xf>
    <xf numFmtId="164" fontId="3" fillId="0" borderId="4" xfId="0" applyNumberFormat="1" applyFont="1" applyBorder="1" applyAlignment="1" applyProtection="1">
      <alignment horizontal="center" vertical="center"/>
      <protection/>
    </xf>
    <xf numFmtId="164" fontId="0" fillId="0" borderId="4" xfId="0" applyNumberFormat="1" applyFont="1" applyBorder="1" applyAlignment="1">
      <alignment horizontal="center" vertical="center"/>
    </xf>
    <xf numFmtId="168" fontId="5" fillId="4" borderId="4" xfId="0" applyNumberFormat="1" applyFont="1" applyFill="1" applyBorder="1" applyAlignment="1" applyProtection="1">
      <alignment horizontal="center" vertical="center"/>
      <protection locked="0"/>
    </xf>
    <xf numFmtId="164" fontId="19" fillId="0" borderId="4" xfId="0" applyFont="1" applyFill="1" applyBorder="1" applyAlignment="1">
      <alignment horizontal="center" vertical="center" wrapText="1"/>
    </xf>
    <xf numFmtId="164" fontId="0" fillId="0" borderId="13" xfId="0" applyFont="1" applyBorder="1" applyAlignment="1">
      <alignment vertical="center"/>
    </xf>
    <xf numFmtId="164" fontId="10" fillId="0" borderId="0" xfId="0" applyFont="1" applyAlignment="1">
      <alignment vertical="center"/>
    </xf>
    <xf numFmtId="164" fontId="0" fillId="0" borderId="0" xfId="0" applyNumberFormat="1" applyFont="1" applyAlignment="1">
      <alignment horizontal="right" vertical="center"/>
    </xf>
    <xf numFmtId="164" fontId="0" fillId="0" borderId="14" xfId="0" applyFont="1" applyBorder="1" applyAlignment="1">
      <alignment vertical="center"/>
    </xf>
    <xf numFmtId="164" fontId="3" fillId="0" borderId="0" xfId="0" applyFont="1" applyFill="1" applyBorder="1" applyAlignment="1">
      <alignment horizontal="center" vertical="center"/>
    </xf>
    <xf numFmtId="171" fontId="8" fillId="0" borderId="0" xfId="0" applyNumberFormat="1" applyFont="1" applyFill="1" applyBorder="1" applyAlignment="1">
      <alignment horizontal="center" vertical="center"/>
    </xf>
    <xf numFmtId="164" fontId="20" fillId="0" borderId="0" xfId="0" applyFont="1" applyFill="1" applyBorder="1" applyAlignment="1">
      <alignment horizontal="center" vertical="center"/>
    </xf>
    <xf numFmtId="164" fontId="8" fillId="0" borderId="0" xfId="0" applyFont="1" applyFill="1" applyBorder="1" applyAlignment="1">
      <alignment horizontal="center" vertical="center"/>
    </xf>
    <xf numFmtId="167" fontId="3" fillId="5" borderId="4" xfId="0" applyNumberFormat="1" applyFont="1" applyFill="1" applyBorder="1" applyAlignment="1">
      <alignment horizontal="center" vertical="center"/>
    </xf>
    <xf numFmtId="167" fontId="3" fillId="9" borderId="4" xfId="0" applyNumberFormat="1" applyFont="1" applyFill="1" applyBorder="1" applyAlignment="1">
      <alignment horizontal="center" vertical="center"/>
    </xf>
    <xf numFmtId="164" fontId="7" fillId="0" borderId="0" xfId="0" applyFont="1" applyFill="1" applyBorder="1" applyAlignment="1">
      <alignment vertical="center"/>
    </xf>
    <xf numFmtId="171" fontId="3" fillId="4" borderId="4" xfId="0" applyNumberFormat="1" applyFont="1" applyFill="1" applyBorder="1" applyAlignment="1">
      <alignment horizontal="center" vertical="center"/>
    </xf>
    <xf numFmtId="171" fontId="3" fillId="8" borderId="4" xfId="0" applyNumberFormat="1" applyFont="1" applyFill="1" applyBorder="1" applyAlignment="1">
      <alignment horizontal="center" vertical="center"/>
    </xf>
    <xf numFmtId="171" fontId="3" fillId="5" borderId="4"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75" fontId="3" fillId="5" borderId="4" xfId="0" applyNumberFormat="1" applyFont="1" applyFill="1" applyBorder="1" applyAlignment="1">
      <alignment horizontal="center" vertical="center"/>
    </xf>
    <xf numFmtId="164" fontId="3" fillId="0" borderId="11" xfId="0" applyFont="1" applyFill="1" applyBorder="1" applyAlignment="1">
      <alignment vertical="center"/>
    </xf>
    <xf numFmtId="164" fontId="3" fillId="0" borderId="11" xfId="0" applyFont="1" applyFill="1" applyBorder="1" applyAlignment="1">
      <alignment horizontal="center" vertical="center"/>
    </xf>
    <xf numFmtId="164" fontId="0" fillId="0" borderId="11" xfId="0" applyFont="1" applyBorder="1" applyAlignment="1">
      <alignment vertical="center"/>
    </xf>
    <xf numFmtId="164" fontId="3" fillId="0" borderId="11" xfId="0" applyFont="1" applyFill="1" applyBorder="1" applyAlignment="1">
      <alignment horizontal="right" vertical="center"/>
    </xf>
    <xf numFmtId="164" fontId="0" fillId="0" borderId="11" xfId="0" applyFont="1" applyFill="1" applyBorder="1" applyAlignment="1">
      <alignment vertical="center"/>
    </xf>
    <xf numFmtId="164" fontId="3" fillId="0" borderId="10" xfId="0" applyFont="1" applyFill="1" applyBorder="1" applyAlignment="1">
      <alignment vertical="center"/>
    </xf>
    <xf numFmtId="164" fontId="0" fillId="0" borderId="10" xfId="0" applyFont="1" applyBorder="1" applyAlignment="1" applyProtection="1">
      <alignment vertical="center"/>
      <protection/>
    </xf>
    <xf numFmtId="164" fontId="4" fillId="0" borderId="10" xfId="0" applyFont="1" applyBorder="1" applyAlignment="1" applyProtection="1">
      <alignment vertical="center"/>
      <protection/>
    </xf>
    <xf numFmtId="164" fontId="0" fillId="0" borderId="10" xfId="0" applyFont="1" applyBorder="1" applyAlignment="1">
      <alignment vertical="center"/>
    </xf>
    <xf numFmtId="164" fontId="21" fillId="0" borderId="0" xfId="0" applyFont="1" applyFill="1" applyBorder="1" applyAlignment="1">
      <alignment vertical="center"/>
    </xf>
    <xf numFmtId="171" fontId="6" fillId="0" borderId="0" xfId="0" applyNumberFormat="1" applyFont="1" applyFill="1" applyBorder="1" applyAlignment="1" applyProtection="1">
      <alignment horizontal="center" vertical="center"/>
      <protection locked="0"/>
    </xf>
    <xf numFmtId="164" fontId="13" fillId="0" borderId="0" xfId="0" applyFont="1" applyBorder="1" applyAlignment="1">
      <alignment vertical="center"/>
    </xf>
    <xf numFmtId="173" fontId="5" fillId="0" borderId="3" xfId="0" applyNumberFormat="1" applyFont="1" applyFill="1" applyBorder="1" applyAlignment="1" applyProtection="1">
      <alignment horizontal="center" vertical="center"/>
      <protection locked="0"/>
    </xf>
    <xf numFmtId="173" fontId="5" fillId="0" borderId="11" xfId="0" applyNumberFormat="1" applyFont="1" applyBorder="1" applyAlignment="1">
      <alignment vertical="center"/>
    </xf>
    <xf numFmtId="164" fontId="5" fillId="0" borderId="2" xfId="0" applyFont="1" applyFill="1" applyBorder="1" applyAlignment="1">
      <alignment vertical="center"/>
    </xf>
    <xf numFmtId="164" fontId="3" fillId="0" borderId="3" xfId="0" applyFont="1" applyFill="1" applyBorder="1" applyAlignment="1">
      <alignment vertical="center"/>
    </xf>
    <xf numFmtId="164" fontId="0" fillId="0" borderId="3" xfId="0" applyFont="1" applyBorder="1" applyAlignment="1" applyProtection="1">
      <alignment vertical="center"/>
      <protection/>
    </xf>
    <xf numFmtId="164" fontId="4" fillId="0" borderId="3" xfId="0" applyFont="1" applyBorder="1" applyAlignment="1" applyProtection="1">
      <alignment vertical="center"/>
      <protection/>
    </xf>
    <xf numFmtId="164" fontId="0" fillId="0" borderId="3" xfId="0" applyFont="1" applyBorder="1" applyAlignment="1">
      <alignment vertical="center"/>
    </xf>
    <xf numFmtId="164" fontId="3" fillId="0" borderId="15" xfId="0" applyFont="1" applyBorder="1" applyAlignment="1" applyProtection="1">
      <alignment horizontal="center"/>
      <protection/>
    </xf>
    <xf numFmtId="171" fontId="22" fillId="8" borderId="4" xfId="0" applyNumberFormat="1" applyFont="1" applyFill="1" applyBorder="1" applyAlignment="1">
      <alignment horizontal="center" vertical="center"/>
    </xf>
    <xf numFmtId="164" fontId="0" fillId="0" borderId="4" xfId="0" applyFont="1" applyBorder="1" applyAlignment="1" applyProtection="1">
      <alignment horizontal="center" vertical="center"/>
      <protection/>
    </xf>
    <xf numFmtId="171" fontId="0" fillId="0" borderId="0" xfId="0" applyNumberFormat="1" applyFont="1" applyAlignment="1">
      <alignment horizontal="center" vertical="center"/>
    </xf>
    <xf numFmtId="164" fontId="3" fillId="0" borderId="4" xfId="0" applyFont="1" applyBorder="1" applyAlignment="1" applyProtection="1">
      <alignment horizontal="right" vertical="center"/>
      <protection/>
    </xf>
    <xf numFmtId="173" fontId="3" fillId="5" borderId="4" xfId="0" applyNumberFormat="1" applyFont="1" applyFill="1" applyBorder="1" applyAlignment="1" applyProtection="1">
      <alignment horizontal="center" vertical="center"/>
      <protection locked="0"/>
    </xf>
    <xf numFmtId="173" fontId="5" fillId="5" borderId="4" xfId="0" applyNumberFormat="1" applyFont="1" applyFill="1" applyBorder="1" applyAlignment="1" applyProtection="1">
      <alignment horizontal="center" vertical="center"/>
      <protection locked="0"/>
    </xf>
    <xf numFmtId="173" fontId="9" fillId="0" borderId="4" xfId="0" applyNumberFormat="1" applyFont="1" applyFill="1" applyBorder="1" applyAlignment="1" applyProtection="1">
      <alignment horizontal="center" vertical="center"/>
      <protection locked="0"/>
    </xf>
    <xf numFmtId="164" fontId="0" fillId="0" borderId="0" xfId="0" applyFont="1" applyBorder="1" applyAlignment="1" applyProtection="1">
      <alignment horizontal="center" vertical="center"/>
      <protection/>
    </xf>
    <xf numFmtId="164" fontId="0" fillId="0" borderId="0" xfId="0" applyFont="1" applyBorder="1" applyAlignment="1">
      <alignment horizontal="center" vertical="center"/>
    </xf>
    <xf numFmtId="164" fontId="8" fillId="0" borderId="0" xfId="0" applyFont="1" applyFill="1" applyBorder="1" applyAlignment="1">
      <alignment horizontal="left" vertical="center"/>
    </xf>
    <xf numFmtId="171" fontId="3" fillId="9" borderId="4" xfId="0" applyNumberFormat="1" applyFont="1" applyFill="1" applyBorder="1" applyAlignment="1">
      <alignment horizontal="center" vertical="center"/>
    </xf>
    <xf numFmtId="176" fontId="0" fillId="0" borderId="0" xfId="0" applyNumberFormat="1" applyFont="1" applyAlignment="1">
      <alignment vertical="center"/>
    </xf>
    <xf numFmtId="175" fontId="0" fillId="0" borderId="0" xfId="0" applyNumberFormat="1" applyFont="1" applyAlignment="1">
      <alignment vertical="center"/>
    </xf>
    <xf numFmtId="177" fontId="0" fillId="0" borderId="0" xfId="0" applyNumberFormat="1" applyFont="1" applyAlignment="1">
      <alignment vertical="center"/>
    </xf>
    <xf numFmtId="177" fontId="3" fillId="5" borderId="4" xfId="0" applyNumberFormat="1" applyFont="1" applyFill="1" applyBorder="1" applyAlignment="1">
      <alignment horizontal="center" vertical="center"/>
    </xf>
    <xf numFmtId="164" fontId="3" fillId="0" borderId="0" xfId="0" applyFont="1" applyAlignment="1">
      <alignment horizontal="center" vertical="center"/>
    </xf>
    <xf numFmtId="164" fontId="6" fillId="0" borderId="0" xfId="0" applyFont="1" applyFill="1" applyBorder="1" applyAlignment="1">
      <alignment vertical="center"/>
    </xf>
    <xf numFmtId="164" fontId="5" fillId="4" borderId="4" xfId="0" applyNumberFormat="1" applyFont="1" applyFill="1" applyBorder="1" applyAlignment="1" applyProtection="1">
      <alignment horizontal="center" vertical="center"/>
      <protection locked="0"/>
    </xf>
    <xf numFmtId="17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center" vertical="center"/>
    </xf>
    <xf numFmtId="164" fontId="22" fillId="0" borderId="0" xfId="0" applyFont="1" applyBorder="1" applyAlignment="1">
      <alignment horizontal="center" vertical="center"/>
    </xf>
    <xf numFmtId="164" fontId="8" fillId="0" borderId="0" xfId="0" applyFont="1" applyFill="1" applyBorder="1" applyAlignment="1">
      <alignment vertical="center"/>
    </xf>
    <xf numFmtId="164" fontId="3" fillId="0" borderId="0" xfId="0" applyFont="1" applyAlignment="1">
      <alignment horizontal="right" vertical="center"/>
    </xf>
    <xf numFmtId="171" fontId="5" fillId="0" borderId="0" xfId="0" applyNumberFormat="1" applyFont="1" applyFill="1" applyBorder="1" applyAlignment="1" applyProtection="1">
      <alignment horizontal="center" vertical="center"/>
      <protection locked="0"/>
    </xf>
    <xf numFmtId="164" fontId="5" fillId="0" borderId="0" xfId="0" applyFont="1" applyBorder="1" applyAlignment="1">
      <alignment vertical="center"/>
    </xf>
    <xf numFmtId="164" fontId="20" fillId="0" borderId="0" xfId="0" applyFont="1" applyBorder="1" applyAlignment="1" applyProtection="1">
      <alignment vertical="center"/>
      <protection/>
    </xf>
    <xf numFmtId="164" fontId="0" fillId="0" borderId="0" xfId="0" applyBorder="1" applyAlignment="1">
      <alignment vertical="center"/>
    </xf>
    <xf numFmtId="164" fontId="11" fillId="0" borderId="0" xfId="0" applyFont="1" applyFill="1" applyBorder="1" applyAlignment="1">
      <alignment vertical="center"/>
    </xf>
    <xf numFmtId="164" fontId="23" fillId="0" borderId="0" xfId="0" applyFont="1" applyAlignment="1">
      <alignment vertical="center"/>
    </xf>
    <xf numFmtId="164" fontId="24" fillId="0" borderId="0" xfId="0" applyFont="1" applyAlignment="1">
      <alignment vertical="center"/>
    </xf>
    <xf numFmtId="171" fontId="6" fillId="0" borderId="0" xfId="0" applyNumberFormat="1" applyFont="1" applyFill="1" applyBorder="1" applyAlignment="1" applyProtection="1">
      <alignment horizontal="center" vertical="center"/>
      <protection locked="0"/>
    </xf>
    <xf numFmtId="164" fontId="18" fillId="0" borderId="0" xfId="0" applyFont="1" applyFill="1" applyBorder="1" applyAlignment="1">
      <alignment vertical="center"/>
    </xf>
    <xf numFmtId="164" fontId="25" fillId="0" borderId="0" xfId="0" applyFont="1" applyAlignment="1">
      <alignment vertical="center"/>
    </xf>
    <xf numFmtId="164" fontId="13" fillId="0" borderId="0" xfId="0" applyFont="1" applyFill="1" applyBorder="1" applyAlignment="1">
      <alignment vertical="center" wrapText="1"/>
    </xf>
    <xf numFmtId="164" fontId="3" fillId="0" borderId="2" xfId="0" applyFont="1" applyFill="1" applyBorder="1" applyAlignment="1">
      <alignment vertical="center"/>
    </xf>
    <xf numFmtId="164" fontId="3" fillId="0" borderId="16" xfId="0" applyFont="1" applyFill="1" applyBorder="1" applyAlignment="1">
      <alignment vertical="center"/>
    </xf>
    <xf numFmtId="164" fontId="3" fillId="0" borderId="17" xfId="0" applyFont="1" applyFill="1" applyBorder="1" applyAlignment="1">
      <alignment horizontal="center" vertical="center"/>
    </xf>
    <xf numFmtId="164" fontId="3" fillId="0" borderId="16" xfId="0" applyFont="1" applyFill="1" applyBorder="1" applyAlignment="1">
      <alignment horizontal="center" vertical="center"/>
    </xf>
    <xf numFmtId="164" fontId="15" fillId="0" borderId="15" xfId="0" applyFont="1" applyBorder="1" applyAlignment="1">
      <alignment horizontal="right" vertical="center"/>
    </xf>
    <xf numFmtId="164" fontId="3" fillId="0" borderId="4" xfId="0" applyFont="1" applyBorder="1" applyAlignment="1" applyProtection="1">
      <alignment horizontal="center" vertical="center"/>
      <protection/>
    </xf>
    <xf numFmtId="164" fontId="0" fillId="0" borderId="12" xfId="0" applyFont="1" applyBorder="1" applyAlignment="1" applyProtection="1">
      <alignment horizontal="center" vertical="center"/>
      <protection/>
    </xf>
    <xf numFmtId="164" fontId="5" fillId="7" borderId="3" xfId="0" applyFont="1" applyFill="1" applyBorder="1" applyAlignment="1">
      <alignment horizontal="right" vertical="center"/>
    </xf>
    <xf numFmtId="164" fontId="5" fillId="7" borderId="3" xfId="0" applyFont="1" applyFill="1" applyBorder="1" applyAlignment="1">
      <alignment horizontal="center" vertical="center"/>
    </xf>
    <xf numFmtId="164" fontId="5" fillId="7" borderId="15" xfId="0" applyFont="1" applyFill="1" applyBorder="1" applyAlignment="1">
      <alignment horizontal="right" vertical="center"/>
    </xf>
    <xf numFmtId="164" fontId="3" fillId="0" borderId="18" xfId="0" applyFont="1" applyFill="1" applyBorder="1" applyAlignment="1">
      <alignment horizontal="left" vertical="center"/>
    </xf>
    <xf numFmtId="164" fontId="3" fillId="0" borderId="19" xfId="0" applyFont="1" applyFill="1" applyBorder="1" applyAlignment="1" applyProtection="1">
      <alignment horizontal="left" vertical="center"/>
      <protection/>
    </xf>
    <xf numFmtId="171" fontId="5" fillId="4" borderId="20" xfId="0" applyNumberFormat="1" applyFont="1" applyFill="1" applyBorder="1" applyAlignment="1" applyProtection="1">
      <alignment horizontal="center" vertical="center"/>
      <protection locked="0"/>
    </xf>
    <xf numFmtId="164" fontId="3" fillId="0" borderId="4" xfId="0" applyFont="1" applyFill="1" applyBorder="1" applyAlignment="1">
      <alignment horizontal="right" vertical="center" wrapText="1"/>
    </xf>
    <xf numFmtId="164" fontId="3" fillId="0" borderId="21" xfId="0" applyFont="1" applyFill="1" applyBorder="1" applyAlignment="1">
      <alignment horizontal="left" vertical="center"/>
    </xf>
    <xf numFmtId="164" fontId="3" fillId="5" borderId="4" xfId="0" applyFont="1" applyFill="1" applyBorder="1" applyAlignment="1" applyProtection="1">
      <alignment horizontal="center" vertical="center"/>
      <protection locked="0"/>
    </xf>
    <xf numFmtId="171" fontId="5" fillId="4" borderId="4" xfId="0" applyNumberFormat="1" applyFont="1" applyFill="1" applyBorder="1" applyAlignment="1" applyProtection="1">
      <alignment horizontal="center" vertical="center"/>
      <protection locked="0"/>
    </xf>
    <xf numFmtId="174" fontId="3" fillId="5" borderId="15" xfId="0" applyNumberFormat="1" applyFont="1" applyFill="1" applyBorder="1" applyAlignment="1">
      <alignment horizontal="center" vertical="center"/>
    </xf>
    <xf numFmtId="164" fontId="15" fillId="5" borderId="4" xfId="0" applyFont="1" applyFill="1" applyBorder="1" applyAlignment="1" applyProtection="1">
      <alignment horizontal="left" vertical="center"/>
      <protection/>
    </xf>
    <xf numFmtId="164" fontId="3" fillId="4" borderId="4" xfId="0" applyFont="1" applyFill="1" applyBorder="1" applyAlignment="1" applyProtection="1">
      <alignment horizontal="left" vertical="center"/>
      <protection/>
    </xf>
    <xf numFmtId="164" fontId="0" fillId="4" borderId="0" xfId="0" applyNumberFormat="1" applyFont="1" applyFill="1" applyBorder="1" applyAlignment="1">
      <alignment/>
    </xf>
    <xf numFmtId="164" fontId="0" fillId="0" borderId="4" xfId="0" applyFont="1" applyBorder="1" applyAlignment="1">
      <alignment vertical="center"/>
    </xf>
    <xf numFmtId="171" fontId="3" fillId="0" borderId="4" xfId="0" applyNumberFormat="1" applyFont="1" applyFill="1" applyBorder="1" applyAlignment="1">
      <alignment horizontal="right" vertical="center"/>
    </xf>
    <xf numFmtId="164" fontId="3" fillId="0" borderId="22" xfId="0" applyFont="1" applyFill="1" applyBorder="1" applyAlignment="1">
      <alignment horizontal="left" vertical="center"/>
    </xf>
    <xf numFmtId="164" fontId="3" fillId="0" borderId="9" xfId="0" applyFont="1" applyFill="1" applyBorder="1" applyAlignment="1">
      <alignment horizontal="left" vertical="center"/>
    </xf>
    <xf numFmtId="168" fontId="5" fillId="5" borderId="2" xfId="0" applyNumberFormat="1" applyFont="1" applyFill="1" applyBorder="1" applyAlignment="1">
      <alignment horizontal="right" vertical="center"/>
    </xf>
    <xf numFmtId="174" fontId="5" fillId="5" borderId="4" xfId="0" applyNumberFormat="1" applyFont="1" applyFill="1" applyBorder="1" applyAlignment="1">
      <alignment horizontal="center" vertical="center"/>
    </xf>
    <xf numFmtId="164" fontId="15" fillId="0" borderId="23" xfId="0" applyFont="1" applyBorder="1" applyAlignment="1">
      <alignment horizontal="right" vertical="center"/>
    </xf>
    <xf numFmtId="173" fontId="5" fillId="5" borderId="6" xfId="0" applyNumberFormat="1" applyFont="1" applyFill="1" applyBorder="1" applyAlignment="1" applyProtection="1">
      <alignment horizontal="center" vertical="center"/>
      <protection locked="0"/>
    </xf>
    <xf numFmtId="164" fontId="18" fillId="0" borderId="0" xfId="0" applyFont="1" applyBorder="1" applyAlignment="1">
      <alignment vertical="center"/>
    </xf>
    <xf numFmtId="164" fontId="24" fillId="0" borderId="0" xfId="0" applyFont="1" applyBorder="1" applyAlignment="1">
      <alignment vertical="center"/>
    </xf>
    <xf numFmtId="164" fontId="5" fillId="0" borderId="0" xfId="0" applyFont="1" applyAlignment="1">
      <alignment/>
    </xf>
    <xf numFmtId="164" fontId="5" fillId="0" borderId="0" xfId="0" applyFont="1" applyAlignment="1">
      <alignment/>
    </xf>
    <xf numFmtId="164" fontId="3" fillId="0" borderId="0" xfId="0" applyFont="1" applyBorder="1" applyAlignment="1">
      <alignment/>
    </xf>
    <xf numFmtId="164" fontId="23" fillId="0" borderId="0" xfId="0" applyFont="1" applyBorder="1" applyAlignment="1">
      <alignment vertical="center"/>
    </xf>
    <xf numFmtId="164" fontId="22" fillId="0" borderId="0" xfId="0" applyFont="1" applyFill="1" applyBorder="1" applyAlignment="1">
      <alignment vertical="center"/>
    </xf>
    <xf numFmtId="164" fontId="25" fillId="0" borderId="0" xfId="0" applyFont="1" applyFill="1" applyBorder="1" applyAlignment="1">
      <alignment vertical="center"/>
    </xf>
    <xf numFmtId="164" fontId="0" fillId="0" borderId="0" xfId="0" applyAlignment="1">
      <alignment horizontal="left"/>
    </xf>
    <xf numFmtId="177" fontId="0" fillId="0" borderId="0" xfId="0" applyNumberFormat="1" applyAlignment="1">
      <alignment/>
    </xf>
    <xf numFmtId="178" fontId="0" fillId="0" borderId="0" xfId="0" applyNumberFormat="1" applyAlignment="1">
      <alignment/>
    </xf>
    <xf numFmtId="164" fontId="4" fillId="0" borderId="0" xfId="0" applyFont="1" applyFill="1" applyBorder="1" applyAlignment="1">
      <alignment horizontal="center" vertical="center"/>
    </xf>
    <xf numFmtId="164" fontId="0" fillId="0" borderId="0" xfId="0" applyFont="1" applyAlignment="1">
      <alignment/>
    </xf>
    <xf numFmtId="164" fontId="0" fillId="0" borderId="0" xfId="0" applyFont="1" applyBorder="1" applyAlignment="1">
      <alignment vertical="center"/>
    </xf>
    <xf numFmtId="179" fontId="0" fillId="5" borderId="24" xfId="0" applyNumberFormat="1" applyFont="1" applyFill="1" applyBorder="1" applyAlignment="1" applyProtection="1">
      <alignment horizontal="center" vertical="center"/>
      <protection locked="0"/>
    </xf>
    <xf numFmtId="177" fontId="22" fillId="0" borderId="0" xfId="0" applyNumberFormat="1" applyFont="1" applyBorder="1" applyAlignment="1">
      <alignment vertical="center"/>
    </xf>
    <xf numFmtId="164" fontId="5" fillId="0" borderId="0" xfId="0" applyFont="1" applyBorder="1" applyAlignment="1">
      <alignment horizontal="right" vertical="center"/>
    </xf>
    <xf numFmtId="174" fontId="0" fillId="5" borderId="24" xfId="0" applyNumberFormat="1" applyFont="1" applyFill="1" applyBorder="1" applyAlignment="1" applyProtection="1">
      <alignment horizontal="center" vertical="center"/>
      <protection locked="0"/>
    </xf>
    <xf numFmtId="164" fontId="22" fillId="0" borderId="0" xfId="0" applyFont="1" applyBorder="1" applyAlignment="1">
      <alignment vertical="center"/>
    </xf>
    <xf numFmtId="164" fontId="22" fillId="3" borderId="0" xfId="0" applyFont="1" applyFill="1" applyBorder="1" applyAlignment="1">
      <alignment horizontal="right" vertical="center"/>
    </xf>
    <xf numFmtId="171" fontId="0" fillId="3" borderId="0" xfId="0" applyNumberFormat="1" applyFont="1" applyFill="1" applyBorder="1" applyAlignment="1" applyProtection="1">
      <alignment horizontal="center" vertical="center"/>
      <protection locked="0"/>
    </xf>
    <xf numFmtId="164" fontId="22" fillId="3" borderId="25" xfId="0" applyFont="1" applyFill="1" applyBorder="1" applyAlignment="1">
      <alignment vertical="center"/>
    </xf>
    <xf numFmtId="164" fontId="0" fillId="3" borderId="0" xfId="0" applyFont="1" applyFill="1" applyAlignment="1">
      <alignment vertical="center"/>
    </xf>
    <xf numFmtId="164" fontId="0" fillId="3" borderId="0" xfId="0" applyFill="1" applyAlignment="1">
      <alignment vertical="center"/>
    </xf>
    <xf numFmtId="164" fontId="22" fillId="6" borderId="24" xfId="0" applyFont="1" applyFill="1" applyBorder="1" applyAlignment="1">
      <alignment horizontal="left" vertical="top"/>
    </xf>
    <xf numFmtId="164" fontId="22" fillId="6" borderId="24" xfId="0" applyFont="1" applyFill="1" applyBorder="1" applyAlignment="1">
      <alignment horizontal="left" vertical="top" wrapText="1"/>
    </xf>
    <xf numFmtId="164" fontId="22" fillId="6" borderId="24" xfId="0" applyFont="1" applyFill="1" applyBorder="1" applyAlignment="1">
      <alignment horizontal="center" vertical="top" wrapText="1"/>
    </xf>
    <xf numFmtId="177" fontId="6" fillId="6" borderId="24" xfId="0" applyNumberFormat="1" applyFont="1" applyFill="1" applyBorder="1" applyAlignment="1">
      <alignment vertical="top" wrapText="1"/>
    </xf>
    <xf numFmtId="178" fontId="5" fillId="6" borderId="24" xfId="0" applyNumberFormat="1" applyFont="1" applyFill="1" applyBorder="1" applyAlignment="1">
      <alignment vertical="top" wrapText="1"/>
    </xf>
    <xf numFmtId="164" fontId="22" fillId="6" borderId="24" xfId="0" applyFont="1" applyFill="1" applyBorder="1" applyAlignment="1">
      <alignment vertical="top" wrapText="1"/>
    </xf>
    <xf numFmtId="164" fontId="22" fillId="6" borderId="26" xfId="0" applyFont="1" applyFill="1" applyBorder="1" applyAlignment="1">
      <alignment vertical="top" wrapText="1"/>
    </xf>
    <xf numFmtId="164" fontId="0" fillId="4" borderId="27" xfId="0" applyFont="1" applyFill="1" applyBorder="1" applyAlignment="1" applyProtection="1">
      <alignment horizontal="left" vertical="center"/>
      <protection locked="0"/>
    </xf>
    <xf numFmtId="171" fontId="0" fillId="4" borderId="27" xfId="0" applyNumberFormat="1" applyFont="1" applyFill="1" applyBorder="1" applyAlignment="1" applyProtection="1">
      <alignment horizontal="center" vertical="center"/>
      <protection locked="0"/>
    </xf>
    <xf numFmtId="177" fontId="0" fillId="4" borderId="27" xfId="0" applyNumberFormat="1" applyFont="1" applyFill="1" applyBorder="1" applyAlignment="1" applyProtection="1">
      <alignment horizontal="center" vertical="center"/>
      <protection locked="0"/>
    </xf>
    <xf numFmtId="177" fontId="0" fillId="4" borderId="27" xfId="0" applyNumberFormat="1" applyFont="1" applyFill="1" applyBorder="1" applyAlignment="1" applyProtection="1">
      <alignment/>
      <protection locked="0"/>
    </xf>
    <xf numFmtId="171" fontId="0" fillId="4" borderId="27" xfId="0" applyNumberFormat="1" applyFont="1" applyFill="1" applyBorder="1" applyAlignment="1" applyProtection="1">
      <alignment/>
      <protection locked="0"/>
    </xf>
    <xf numFmtId="171" fontId="22" fillId="5" borderId="27" xfId="0" applyNumberFormat="1" applyFont="1" applyFill="1" applyBorder="1" applyAlignment="1" applyProtection="1">
      <alignment/>
      <protection locked="0"/>
    </xf>
    <xf numFmtId="173" fontId="22" fillId="5" borderId="27" xfId="0" applyNumberFormat="1" applyFont="1" applyFill="1" applyBorder="1" applyAlignment="1">
      <alignment/>
    </xf>
    <xf numFmtId="164" fontId="0" fillId="4" borderId="27" xfId="0" applyFont="1" applyFill="1" applyBorder="1" applyAlignment="1">
      <alignment/>
    </xf>
    <xf numFmtId="164" fontId="0" fillId="4" borderId="24" xfId="0" applyFont="1" applyFill="1" applyBorder="1" applyAlignment="1" applyProtection="1">
      <alignment horizontal="left" vertical="center"/>
      <protection locked="0"/>
    </xf>
    <xf numFmtId="171" fontId="0" fillId="4" borderId="24" xfId="0" applyNumberFormat="1" applyFont="1" applyFill="1" applyBorder="1" applyAlignment="1" applyProtection="1">
      <alignment horizontal="center" vertical="center"/>
      <protection locked="0"/>
    </xf>
    <xf numFmtId="177" fontId="0" fillId="4" borderId="24" xfId="0" applyNumberFormat="1" applyFont="1" applyFill="1" applyBorder="1" applyAlignment="1" applyProtection="1">
      <alignment horizontal="center" vertical="center"/>
      <protection locked="0"/>
    </xf>
    <xf numFmtId="177" fontId="0" fillId="4" borderId="24" xfId="0" applyNumberFormat="1" applyFont="1" applyFill="1" applyBorder="1" applyAlignment="1" applyProtection="1">
      <alignment/>
      <protection locked="0"/>
    </xf>
    <xf numFmtId="171" fontId="0" fillId="4" borderId="24" xfId="0" applyNumberFormat="1" applyFont="1" applyFill="1" applyBorder="1" applyAlignment="1" applyProtection="1">
      <alignment/>
      <protection locked="0"/>
    </xf>
    <xf numFmtId="171" fontId="22" fillId="5" borderId="24" xfId="0" applyNumberFormat="1" applyFont="1" applyFill="1" applyBorder="1" applyAlignment="1" applyProtection="1">
      <alignment/>
      <protection locked="0"/>
    </xf>
    <xf numFmtId="173" fontId="22" fillId="5" borderId="24" xfId="0" applyNumberFormat="1" applyFont="1" applyFill="1" applyBorder="1" applyAlignment="1">
      <alignment/>
    </xf>
    <xf numFmtId="164" fontId="0" fillId="4" borderId="24" xfId="0" applyFont="1" applyFill="1" applyBorder="1" applyAlignment="1">
      <alignment/>
    </xf>
    <xf numFmtId="164" fontId="0" fillId="4" borderId="24" xfId="0" applyFont="1" applyFill="1" applyBorder="1" applyAlignment="1">
      <alignment horizontal="left"/>
    </xf>
    <xf numFmtId="178" fontId="0" fillId="4" borderId="24" xfId="0" applyNumberFormat="1" applyFont="1" applyFill="1" applyBorder="1" applyAlignment="1">
      <alignment/>
    </xf>
    <xf numFmtId="177" fontId="0" fillId="4" borderId="24" xfId="0" applyNumberFormat="1" applyFont="1" applyFill="1" applyBorder="1" applyAlignment="1">
      <alignment/>
    </xf>
    <xf numFmtId="164" fontId="0" fillId="4" borderId="27" xfId="0" applyFont="1" applyFill="1" applyBorder="1" applyAlignment="1" applyProtection="1">
      <alignment/>
      <protection locked="0"/>
    </xf>
    <xf numFmtId="164" fontId="0" fillId="4" borderId="28" xfId="0" applyFont="1" applyFill="1" applyBorder="1" applyAlignment="1" applyProtection="1">
      <alignment horizontal="left" vertical="center"/>
      <protection locked="0"/>
    </xf>
    <xf numFmtId="164" fontId="0" fillId="4" borderId="28" xfId="0" applyFont="1" applyFill="1" applyBorder="1" applyAlignment="1">
      <alignment/>
    </xf>
    <xf numFmtId="171" fontId="0" fillId="4" borderId="28" xfId="0" applyNumberFormat="1" applyFont="1" applyFill="1" applyBorder="1" applyAlignment="1" applyProtection="1">
      <alignment horizontal="center" vertical="center"/>
      <protection locked="0"/>
    </xf>
    <xf numFmtId="177" fontId="0" fillId="4" borderId="28" xfId="0" applyNumberFormat="1" applyFont="1" applyFill="1" applyBorder="1" applyAlignment="1" applyProtection="1">
      <alignment horizontal="center" vertical="center"/>
      <protection locked="0"/>
    </xf>
    <xf numFmtId="177" fontId="0" fillId="4" borderId="28" xfId="0" applyNumberFormat="1" applyFont="1" applyFill="1" applyBorder="1" applyAlignment="1" applyProtection="1">
      <alignment/>
      <protection locked="0"/>
    </xf>
    <xf numFmtId="171" fontId="0" fillId="4" borderId="28" xfId="0" applyNumberFormat="1" applyFont="1" applyFill="1" applyBorder="1" applyAlignment="1" applyProtection="1">
      <alignment/>
      <protection locked="0"/>
    </xf>
    <xf numFmtId="164" fontId="0" fillId="4" borderId="29" xfId="0" applyFont="1" applyFill="1" applyBorder="1" applyAlignment="1" applyProtection="1">
      <alignment/>
      <protection locked="0"/>
    </xf>
    <xf numFmtId="164" fontId="0" fillId="4" borderId="24" xfId="0" applyFont="1" applyFill="1" applyBorder="1" applyAlignment="1" applyProtection="1">
      <alignment/>
      <protection locked="0"/>
    </xf>
    <xf numFmtId="177" fontId="22" fillId="6" borderId="24" xfId="0" applyNumberFormat="1" applyFont="1" applyFill="1" applyBorder="1" applyAlignment="1">
      <alignment vertical="top" wrapText="1"/>
    </xf>
    <xf numFmtId="178" fontId="22" fillId="6" borderId="24" xfId="0" applyNumberFormat="1" applyFont="1" applyFill="1" applyBorder="1" applyAlignment="1">
      <alignment vertical="top" wrapText="1"/>
    </xf>
    <xf numFmtId="164" fontId="22" fillId="0" borderId="24" xfId="0" applyFont="1" applyBorder="1" applyAlignment="1" applyProtection="1">
      <alignment horizontal="left" vertical="center"/>
      <protection locked="0"/>
    </xf>
    <xf numFmtId="171" fontId="0" fillId="6" borderId="24" xfId="0" applyNumberFormat="1" applyFont="1" applyFill="1" applyBorder="1" applyAlignment="1" applyProtection="1">
      <alignment horizontal="center" vertical="center"/>
      <protection locked="0"/>
    </xf>
    <xf numFmtId="171" fontId="0" fillId="5" borderId="24" xfId="0" applyNumberFormat="1" applyFont="1" applyFill="1" applyBorder="1" applyAlignment="1" applyProtection="1">
      <alignment/>
      <protection locked="0"/>
    </xf>
    <xf numFmtId="164" fontId="0" fillId="4" borderId="24" xfId="0" applyFont="1" applyFill="1" applyBorder="1" applyAlignment="1" applyProtection="1">
      <alignment horizontal="left" vertical="center"/>
      <protection/>
    </xf>
    <xf numFmtId="177" fontId="0" fillId="4" borderId="24" xfId="0" applyNumberFormat="1" applyFont="1" applyFill="1" applyBorder="1" applyAlignment="1" applyProtection="1">
      <alignment/>
      <protection/>
    </xf>
    <xf numFmtId="171" fontId="0" fillId="4" borderId="28" xfId="0" applyNumberFormat="1" applyFont="1" applyFill="1" applyBorder="1" applyAlignment="1" applyProtection="1">
      <alignment/>
      <protection/>
    </xf>
    <xf numFmtId="164" fontId="26" fillId="0" borderId="0" xfId="0" applyFont="1" applyAlignment="1">
      <alignment horizontal="left"/>
    </xf>
    <xf numFmtId="164" fontId="26" fillId="0" borderId="0" xfId="0" applyFont="1" applyAlignment="1">
      <alignment/>
    </xf>
    <xf numFmtId="164" fontId="26" fillId="0" borderId="0" xfId="0" applyFont="1" applyAlignment="1">
      <alignment horizontal="center"/>
    </xf>
    <xf numFmtId="177" fontId="26" fillId="0" borderId="0" xfId="0" applyNumberFormat="1" applyFont="1" applyAlignment="1">
      <alignment/>
    </xf>
    <xf numFmtId="178" fontId="26" fillId="0" borderId="0" xfId="0" applyNumberFormat="1" applyFont="1" applyAlignment="1">
      <alignment/>
    </xf>
    <xf numFmtId="164" fontId="27" fillId="0" borderId="26" xfId="0" applyFont="1" applyFill="1" applyBorder="1" applyAlignment="1">
      <alignment horizontal="right"/>
    </xf>
    <xf numFmtId="180" fontId="27" fillId="0" borderId="24" xfId="0" applyNumberFormat="1" applyFont="1" applyFill="1" applyBorder="1" applyAlignment="1">
      <alignment/>
    </xf>
    <xf numFmtId="173" fontId="27" fillId="0" borderId="24" xfId="0" applyNumberFormat="1" applyFont="1" applyBorder="1" applyAlignment="1">
      <alignment/>
    </xf>
    <xf numFmtId="164" fontId="2" fillId="0" borderId="0" xfId="0" applyFont="1" applyAlignment="1">
      <alignment vertical="top"/>
    </xf>
    <xf numFmtId="164" fontId="3" fillId="5" borderId="4" xfId="0" applyNumberFormat="1" applyFont="1" applyFill="1" applyBorder="1" applyAlignment="1">
      <alignment horizontal="center" vertical="center"/>
    </xf>
    <xf numFmtId="164" fontId="3" fillId="0" borderId="0" xfId="0" applyFont="1" applyFill="1" applyAlignment="1">
      <alignment horizontal="right" vertical="center"/>
    </xf>
    <xf numFmtId="164" fontId="23" fillId="0" borderId="0" xfId="0" applyFont="1" applyAlignment="1">
      <alignment/>
    </xf>
    <xf numFmtId="164" fontId="0" fillId="0" borderId="0" xfId="0" applyFill="1" applyAlignment="1">
      <alignment/>
    </xf>
    <xf numFmtId="164" fontId="0" fillId="6" borderId="10" xfId="0" applyFont="1" applyFill="1" applyBorder="1" applyAlignment="1">
      <alignment vertical="center"/>
    </xf>
    <xf numFmtId="164" fontId="0" fillId="6" borderId="10" xfId="0" applyFont="1" applyFill="1" applyBorder="1" applyAlignment="1" applyProtection="1">
      <alignment vertical="center"/>
      <protection/>
    </xf>
    <xf numFmtId="164" fontId="5" fillId="0" borderId="0" xfId="0" applyFont="1" applyBorder="1" applyAlignment="1">
      <alignment horizontal="center" vertical="center"/>
    </xf>
    <xf numFmtId="164" fontId="4" fillId="0" borderId="0" xfId="0" applyFont="1" applyBorder="1" applyAlignment="1">
      <alignment horizontal="left" vertical="center"/>
    </xf>
    <xf numFmtId="164" fontId="3" fillId="0" borderId="0" xfId="0" applyFont="1" applyFill="1" applyBorder="1" applyAlignment="1">
      <alignment vertical="center" wrapText="1"/>
    </xf>
    <xf numFmtId="171" fontId="11" fillId="0" borderId="0" xfId="20" applyNumberFormat="1" applyFont="1" applyFill="1" applyBorder="1" applyAlignment="1" applyProtection="1">
      <alignment horizontal="center" vertical="center"/>
      <protection/>
    </xf>
    <xf numFmtId="164" fontId="13" fillId="0" borderId="11" xfId="0" applyFont="1" applyBorder="1" applyAlignment="1">
      <alignment horizontal="left" vertical="center"/>
    </xf>
    <xf numFmtId="164" fontId="3" fillId="0" borderId="11" xfId="0" applyFont="1" applyFill="1" applyBorder="1" applyAlignment="1">
      <alignment vertical="center" wrapText="1"/>
    </xf>
    <xf numFmtId="164" fontId="23" fillId="0" borderId="11" xfId="0" applyFont="1" applyBorder="1" applyAlignment="1">
      <alignment vertical="center"/>
    </xf>
    <xf numFmtId="171" fontId="11" fillId="0" borderId="11" xfId="20" applyNumberFormat="1" applyFont="1" applyFill="1" applyBorder="1" applyAlignment="1" applyProtection="1">
      <alignment horizontal="center" vertical="center"/>
      <protection/>
    </xf>
    <xf numFmtId="164" fontId="3" fillId="0" borderId="11" xfId="0" applyFont="1" applyBorder="1" applyAlignment="1">
      <alignment horizontal="center" vertical="center"/>
    </xf>
    <xf numFmtId="164" fontId="0" fillId="0" borderId="11" xfId="0" applyBorder="1" applyAlignment="1">
      <alignment horizontal="center" vertical="center"/>
    </xf>
    <xf numFmtId="164" fontId="10" fillId="0" borderId="11" xfId="0" applyFont="1" applyBorder="1" applyAlignment="1">
      <alignment vertical="center"/>
    </xf>
    <xf numFmtId="164" fontId="12" fillId="0" borderId="4" xfId="0" applyFont="1" applyFill="1" applyBorder="1" applyAlignment="1">
      <alignment horizontal="center" vertical="center" wrapText="1"/>
    </xf>
    <xf numFmtId="164" fontId="15" fillId="0" borderId="4" xfId="0" applyFont="1" applyFill="1" applyBorder="1" applyAlignment="1">
      <alignment horizontal="center" vertical="center" wrapText="1"/>
    </xf>
    <xf numFmtId="164" fontId="3" fillId="0" borderId="4" xfId="0" applyFont="1" applyFill="1" applyBorder="1" applyAlignment="1">
      <alignment horizontal="center" vertical="center" wrapText="1"/>
    </xf>
    <xf numFmtId="164" fontId="28" fillId="0" borderId="4" xfId="0" applyFont="1" applyFill="1" applyBorder="1" applyAlignment="1">
      <alignment horizontal="center" vertical="center"/>
    </xf>
    <xf numFmtId="164" fontId="3" fillId="0" borderId="4" xfId="0" applyFont="1" applyBorder="1" applyAlignment="1">
      <alignment horizontal="center" vertical="center"/>
    </xf>
    <xf numFmtId="164" fontId="7" fillId="0" borderId="0" xfId="0" applyFont="1" applyBorder="1" applyAlignment="1">
      <alignment vertical="center"/>
    </xf>
    <xf numFmtId="173" fontId="3" fillId="0" borderId="0" xfId="0" applyNumberFormat="1" applyFont="1" applyFill="1" applyBorder="1" applyAlignment="1" applyProtection="1">
      <alignment horizontal="center" vertical="center"/>
      <protection locked="0"/>
    </xf>
    <xf numFmtId="164" fontId="29" fillId="0" borderId="0" xfId="0" applyFont="1" applyBorder="1" applyAlignment="1">
      <alignment horizontal="right" vertical="center"/>
    </xf>
    <xf numFmtId="164" fontId="5" fillId="4" borderId="4" xfId="0" applyFont="1" applyFill="1" applyBorder="1" applyAlignment="1" applyProtection="1">
      <alignment horizontal="center" vertical="center"/>
      <protection locked="0"/>
    </xf>
    <xf numFmtId="171" fontId="5" fillId="4" borderId="4" xfId="0" applyNumberFormat="1" applyFont="1" applyFill="1" applyBorder="1" applyAlignment="1" applyProtection="1">
      <alignment horizontal="center" vertical="center" wrapText="1"/>
      <protection locked="0"/>
    </xf>
    <xf numFmtId="177" fontId="5" fillId="4" borderId="4" xfId="0" applyNumberFormat="1" applyFont="1" applyFill="1" applyBorder="1" applyAlignment="1" applyProtection="1">
      <alignment horizontal="center" vertical="center" wrapText="1"/>
      <protection locked="0"/>
    </xf>
    <xf numFmtId="164" fontId="5" fillId="4" borderId="7" xfId="0" applyFont="1" applyFill="1" applyBorder="1" applyAlignment="1" applyProtection="1">
      <alignment horizontal="left" vertical="center"/>
      <protection locked="0"/>
    </xf>
    <xf numFmtId="171" fontId="5" fillId="4" borderId="4" xfId="20" applyNumberFormat="1" applyFont="1" applyFill="1" applyBorder="1" applyAlignment="1" applyProtection="1">
      <alignment horizontal="center" vertical="center" wrapText="1"/>
      <protection locked="0"/>
    </xf>
    <xf numFmtId="171" fontId="3" fillId="5" borderId="4" xfId="20" applyNumberFormat="1" applyFont="1" applyFill="1" applyBorder="1" applyAlignment="1" applyProtection="1">
      <alignment horizontal="center" vertical="center" wrapText="1"/>
      <protection/>
    </xf>
    <xf numFmtId="173" fontId="9" fillId="5" borderId="4" xfId="0" applyNumberFormat="1" applyFont="1" applyFill="1" applyBorder="1" applyAlignment="1">
      <alignment horizontal="center" vertical="center"/>
    </xf>
    <xf numFmtId="164" fontId="3" fillId="0" borderId="2" xfId="0" applyFont="1" applyBorder="1" applyAlignment="1">
      <alignment horizontal="left" vertical="center"/>
    </xf>
    <xf numFmtId="164" fontId="5" fillId="0" borderId="4" xfId="0" applyFont="1" applyBorder="1" applyAlignment="1">
      <alignment horizontal="right" vertical="center"/>
    </xf>
    <xf numFmtId="171" fontId="28" fillId="5" borderId="4" xfId="0" applyNumberFormat="1" applyFont="1" applyFill="1" applyBorder="1" applyAlignment="1">
      <alignment horizontal="center" vertical="center"/>
    </xf>
    <xf numFmtId="171" fontId="5" fillId="5" borderId="4" xfId="20" applyNumberFormat="1" applyFont="1" applyFill="1" applyBorder="1" applyAlignment="1" applyProtection="1">
      <alignment horizontal="center" vertical="center" wrapText="1"/>
      <protection/>
    </xf>
    <xf numFmtId="173" fontId="6" fillId="5" borderId="4" xfId="0" applyNumberFormat="1" applyFont="1" applyFill="1" applyBorder="1" applyAlignment="1">
      <alignment horizontal="center" vertical="center"/>
    </xf>
    <xf numFmtId="164" fontId="3" fillId="0" borderId="0" xfId="0" applyFont="1" applyBorder="1" applyAlignment="1">
      <alignment horizontal="left" vertical="center"/>
    </xf>
    <xf numFmtId="164" fontId="5" fillId="0" borderId="0" xfId="0" applyFont="1" applyBorder="1" applyAlignment="1">
      <alignment horizontal="right" vertical="center"/>
    </xf>
    <xf numFmtId="164" fontId="5" fillId="4" borderId="4" xfId="0" applyFont="1" applyFill="1" applyBorder="1" applyAlignment="1" applyProtection="1">
      <alignment horizontal="left" vertical="center"/>
      <protection locked="0"/>
    </xf>
    <xf numFmtId="164" fontId="15" fillId="0" borderId="0" xfId="0" applyFont="1" applyBorder="1" applyAlignment="1">
      <alignment horizontal="left" vertical="center"/>
    </xf>
    <xf numFmtId="164" fontId="3" fillId="0" borderId="0" xfId="0" applyFont="1" applyBorder="1" applyAlignment="1">
      <alignment horizontal="center" vertical="center"/>
    </xf>
    <xf numFmtId="168" fontId="22" fillId="0" borderId="0" xfId="20" applyNumberFormat="1" applyFont="1" applyFill="1" applyBorder="1" applyAlignment="1" applyProtection="1">
      <alignment horizontal="right" vertical="center" wrapText="1"/>
      <protection/>
    </xf>
    <xf numFmtId="171" fontId="14" fillId="0" borderId="0" xfId="20" applyNumberFormat="1" applyFont="1" applyFill="1" applyBorder="1" applyAlignment="1" applyProtection="1">
      <alignment horizontal="left" vertical="center"/>
      <protection/>
    </xf>
    <xf numFmtId="164" fontId="28" fillId="0" borderId="4" xfId="0" applyFont="1" applyFill="1" applyBorder="1" applyAlignment="1">
      <alignment horizontal="center" vertical="center" wrapText="1"/>
    </xf>
    <xf numFmtId="164" fontId="5" fillId="4" borderId="30" xfId="0" applyFont="1" applyFill="1" applyBorder="1" applyAlignment="1" applyProtection="1">
      <alignment horizontal="center" vertical="center"/>
      <protection locked="0"/>
    </xf>
    <xf numFmtId="171" fontId="5" fillId="4" borderId="30" xfId="0" applyNumberFormat="1" applyFont="1" applyFill="1" applyBorder="1" applyAlignment="1" applyProtection="1">
      <alignment horizontal="center" vertical="center" wrapText="1"/>
      <protection locked="0"/>
    </xf>
    <xf numFmtId="177" fontId="5" fillId="4" borderId="30" xfId="0" applyNumberFormat="1" applyFont="1" applyFill="1" applyBorder="1" applyAlignment="1" applyProtection="1">
      <alignment horizontal="center" vertical="center" wrapText="1"/>
      <protection locked="0"/>
    </xf>
    <xf numFmtId="164" fontId="5" fillId="4" borderId="30" xfId="0" applyFont="1" applyFill="1" applyBorder="1" applyAlignment="1" applyProtection="1">
      <alignment horizontal="center" vertical="center"/>
      <protection/>
    </xf>
    <xf numFmtId="164" fontId="5" fillId="0" borderId="15" xfId="0" applyFont="1" applyBorder="1" applyAlignment="1">
      <alignment horizontal="right" vertical="center"/>
    </xf>
    <xf numFmtId="171" fontId="28" fillId="5" borderId="15" xfId="0" applyNumberFormat="1" applyFont="1" applyFill="1" applyBorder="1" applyAlignment="1">
      <alignment horizontal="center" vertical="center"/>
    </xf>
    <xf numFmtId="164" fontId="20" fillId="0" borderId="0" xfId="0" applyFont="1" applyAlignment="1">
      <alignment vertical="center"/>
    </xf>
    <xf numFmtId="173" fontId="20" fillId="0" borderId="0" xfId="0" applyNumberFormat="1" applyFont="1" applyFill="1" applyBorder="1" applyAlignment="1" applyProtection="1">
      <alignment horizontal="center" vertical="center"/>
      <protection locked="0"/>
    </xf>
    <xf numFmtId="164" fontId="5" fillId="0" borderId="0" xfId="0" applyFont="1" applyFill="1" applyBorder="1" applyAlignment="1">
      <alignment horizontal="left" vertical="center"/>
    </xf>
    <xf numFmtId="164" fontId="0" fillId="0" borderId="0" xfId="0" applyFont="1" applyFill="1" applyBorder="1" applyAlignment="1">
      <alignment vertical="top"/>
    </xf>
    <xf numFmtId="171" fontId="3" fillId="0" borderId="0" xfId="0" applyNumberFormat="1" applyFont="1" applyFill="1" applyBorder="1" applyAlignment="1">
      <alignment vertical="center"/>
    </xf>
    <xf numFmtId="171" fontId="5" fillId="0" borderId="0" xfId="20" applyNumberFormat="1" applyFont="1" applyFill="1" applyBorder="1" applyAlignment="1" applyProtection="1">
      <alignment horizontal="center" vertical="center" wrapText="1"/>
      <protection/>
    </xf>
    <xf numFmtId="164" fontId="15" fillId="0" borderId="0" xfId="0" applyFont="1" applyFill="1" applyBorder="1" applyAlignment="1">
      <alignment horizontal="center" vertical="center" wrapText="1"/>
    </xf>
    <xf numFmtId="168" fontId="5" fillId="0" borderId="11" xfId="0" applyNumberFormat="1" applyFont="1" applyFill="1" applyBorder="1" applyAlignment="1" applyProtection="1">
      <alignment horizontal="center" vertical="center" wrapText="1"/>
      <protection/>
    </xf>
    <xf numFmtId="164" fontId="15" fillId="0" borderId="0" xfId="0" applyFont="1" applyFill="1" applyBorder="1" applyAlignment="1">
      <alignment horizontal="right" vertical="center"/>
    </xf>
    <xf numFmtId="168" fontId="5" fillId="0" borderId="11" xfId="20" applyNumberFormat="1" applyFont="1" applyFill="1" applyBorder="1" applyAlignment="1" applyProtection="1">
      <alignment horizontal="center" vertical="center" wrapText="1"/>
      <protection/>
    </xf>
    <xf numFmtId="164" fontId="3" fillId="4" borderId="30" xfId="0" applyFont="1" applyFill="1" applyBorder="1" applyAlignment="1">
      <alignment horizontal="left" vertical="center"/>
    </xf>
    <xf numFmtId="164" fontId="3" fillId="4" borderId="9" xfId="0" applyFont="1" applyFill="1" applyBorder="1" applyAlignment="1">
      <alignment horizontal="left" vertical="center"/>
    </xf>
    <xf numFmtId="164" fontId="3" fillId="0" borderId="0" xfId="0" applyFont="1" applyFill="1" applyBorder="1" applyAlignment="1">
      <alignment vertical="top"/>
    </xf>
    <xf numFmtId="164" fontId="8" fillId="0" borderId="0" xfId="0" applyFont="1" applyAlignment="1">
      <alignment vertical="center"/>
    </xf>
    <xf numFmtId="164" fontId="3" fillId="6" borderId="3" xfId="0" applyFont="1" applyFill="1" applyBorder="1" applyAlignment="1">
      <alignment vertical="top"/>
    </xf>
    <xf numFmtId="164" fontId="3" fillId="6" borderId="3" xfId="0" applyFont="1" applyFill="1" applyBorder="1" applyAlignment="1">
      <alignment horizontal="center" vertical="center"/>
    </xf>
    <xf numFmtId="164" fontId="5" fillId="0" borderId="0" xfId="0" applyFont="1" applyBorder="1" applyAlignment="1" applyProtection="1">
      <alignment horizontal="center"/>
      <protection/>
    </xf>
    <xf numFmtId="164" fontId="4" fillId="0" borderId="0" xfId="0" applyFont="1" applyBorder="1" applyAlignment="1" applyProtection="1">
      <alignment horizontal="left"/>
      <protection/>
    </xf>
    <xf numFmtId="164" fontId="3" fillId="0" borderId="0" xfId="0" applyFont="1" applyFill="1" applyBorder="1" applyAlignment="1" applyProtection="1">
      <alignment vertical="center" wrapText="1"/>
      <protection/>
    </xf>
    <xf numFmtId="171" fontId="11" fillId="0" borderId="0" xfId="20" applyNumberFormat="1" applyFont="1" applyFill="1" applyBorder="1" applyAlignment="1" applyProtection="1">
      <alignment horizontal="center" vertical="center" wrapText="1"/>
      <protection/>
    </xf>
    <xf numFmtId="164" fontId="30" fillId="0" borderId="0" xfId="0" applyFont="1" applyAlignment="1">
      <alignment vertical="center"/>
    </xf>
    <xf numFmtId="164" fontId="5" fillId="0" borderId="0" xfId="0" applyFont="1" applyBorder="1" applyAlignment="1" applyProtection="1">
      <alignment horizontal="left"/>
      <protection/>
    </xf>
    <xf numFmtId="171" fontId="31" fillId="0" borderId="0" xfId="20" applyNumberFormat="1" applyFont="1" applyFill="1" applyBorder="1" applyAlignment="1" applyProtection="1">
      <alignment horizontal="center" vertical="center" wrapText="1"/>
      <protection/>
    </xf>
    <xf numFmtId="164" fontId="20" fillId="0" borderId="0" xfId="0" applyFont="1" applyFill="1" applyBorder="1" applyAlignment="1" applyProtection="1">
      <alignment horizontal="left" vertical="center" wrapText="1"/>
      <protection/>
    </xf>
    <xf numFmtId="164" fontId="13" fillId="0" borderId="0" xfId="0" applyFont="1" applyBorder="1" applyAlignment="1" applyProtection="1">
      <alignment horizontal="left"/>
      <protection/>
    </xf>
    <xf numFmtId="164" fontId="15" fillId="0" borderId="0" xfId="0" applyFont="1" applyFill="1" applyBorder="1" applyAlignment="1" applyProtection="1">
      <alignment vertical="center" wrapText="1"/>
      <protection/>
    </xf>
    <xf numFmtId="164" fontId="12" fillId="0" borderId="4" xfId="0" applyFont="1" applyFill="1" applyBorder="1" applyAlignment="1">
      <alignment horizontal="left" vertical="center" wrapText="1"/>
    </xf>
    <xf numFmtId="164" fontId="15" fillId="0" borderId="4" xfId="0" applyFont="1" applyFill="1" applyBorder="1" applyAlignment="1">
      <alignment horizontal="center" vertical="center"/>
    </xf>
    <xf numFmtId="164" fontId="3" fillId="0" borderId="0" xfId="0" applyNumberFormat="1" applyFont="1" applyFill="1" applyAlignment="1">
      <alignment horizontal="left" vertical="center"/>
    </xf>
    <xf numFmtId="173" fontId="0" fillId="0" borderId="0" xfId="0" applyNumberFormat="1" applyBorder="1" applyAlignment="1">
      <alignment horizontal="center"/>
    </xf>
    <xf numFmtId="171" fontId="5" fillId="4" borderId="4" xfId="20" applyNumberFormat="1" applyFont="1" applyFill="1" applyBorder="1" applyAlignment="1" applyProtection="1">
      <alignment horizontal="center" vertical="center"/>
      <protection locked="0"/>
    </xf>
    <xf numFmtId="164" fontId="3" fillId="5" borderId="4" xfId="0" applyFont="1" applyFill="1" applyBorder="1" applyAlignment="1">
      <alignment horizontal="center" vertical="center" wrapText="1"/>
    </xf>
    <xf numFmtId="164" fontId="3" fillId="4" borderId="4" xfId="0" applyFont="1" applyFill="1" applyBorder="1" applyAlignment="1" applyProtection="1">
      <alignment horizontal="center" vertical="center"/>
      <protection locked="0"/>
    </xf>
    <xf numFmtId="173" fontId="3" fillId="5" borderId="4" xfId="20" applyNumberFormat="1" applyFont="1" applyFill="1" applyBorder="1" applyAlignment="1" applyProtection="1">
      <alignment horizontal="center" vertical="center" wrapText="1"/>
      <protection locked="0"/>
    </xf>
    <xf numFmtId="164" fontId="3" fillId="0" borderId="4" xfId="0" applyFont="1" applyFill="1" applyBorder="1" applyAlignment="1" applyProtection="1">
      <alignment horizontal="left" vertical="center"/>
      <protection locked="0"/>
    </xf>
    <xf numFmtId="164" fontId="5" fillId="0" borderId="3" xfId="0" applyFont="1" applyBorder="1" applyAlignment="1">
      <alignment horizontal="right" vertical="center"/>
    </xf>
    <xf numFmtId="173" fontId="5" fillId="5" borderId="4" xfId="20" applyNumberFormat="1" applyFont="1" applyFill="1" applyBorder="1" applyAlignment="1" applyProtection="1">
      <alignment horizontal="center" vertical="center" wrapText="1"/>
      <protection locked="0"/>
    </xf>
    <xf numFmtId="171" fontId="3" fillId="0" borderId="10" xfId="20" applyNumberFormat="1" applyFont="1" applyFill="1" applyBorder="1" applyAlignment="1" applyProtection="1">
      <alignment horizontal="center" vertical="center"/>
      <protection/>
    </xf>
    <xf numFmtId="171" fontId="3" fillId="0" borderId="0" xfId="20" applyNumberFormat="1" applyFont="1" applyFill="1" applyBorder="1" applyAlignment="1" applyProtection="1">
      <alignment horizontal="center" vertical="center"/>
      <protection/>
    </xf>
    <xf numFmtId="168" fontId="3" fillId="0" borderId="0" xfId="20" applyNumberFormat="1" applyFont="1" applyFill="1" applyBorder="1" applyAlignment="1" applyProtection="1">
      <alignment vertical="center" wrapText="1"/>
      <protection/>
    </xf>
    <xf numFmtId="171" fontId="14" fillId="0" borderId="0" xfId="20" applyNumberFormat="1" applyFont="1" applyFill="1" applyBorder="1" applyAlignment="1" applyProtection="1">
      <alignment horizontal="center" vertical="center" wrapText="1"/>
      <protection/>
    </xf>
    <xf numFmtId="164" fontId="0" fillId="5" borderId="0" xfId="0" applyFont="1" applyFill="1" applyAlignment="1">
      <alignment vertical="center"/>
    </xf>
    <xf numFmtId="164" fontId="8" fillId="0" borderId="0" xfId="0" applyFont="1" applyBorder="1" applyAlignment="1">
      <alignment vertical="center"/>
    </xf>
    <xf numFmtId="164" fontId="3" fillId="0" borderId="10" xfId="0" applyFont="1" applyBorder="1" applyAlignment="1">
      <alignment horizontal="right" vertical="center"/>
    </xf>
    <xf numFmtId="171" fontId="5" fillId="0" borderId="10" xfId="20" applyNumberFormat="1" applyFont="1" applyFill="1" applyBorder="1" applyAlignment="1" applyProtection="1">
      <alignment horizontal="center" vertical="center" wrapText="1"/>
      <protection/>
    </xf>
    <xf numFmtId="173" fontId="3" fillId="0" borderId="10" xfId="20" applyNumberFormat="1" applyFont="1" applyFill="1" applyBorder="1" applyAlignment="1" applyProtection="1">
      <alignment horizontal="center" vertical="center" wrapText="1"/>
      <protection locked="0"/>
    </xf>
    <xf numFmtId="173" fontId="0" fillId="0" borderId="10" xfId="0" applyNumberFormat="1" applyBorder="1" applyAlignment="1">
      <alignment vertical="center"/>
    </xf>
    <xf numFmtId="181" fontId="0" fillId="0" borderId="10" xfId="0" applyNumberFormat="1" applyFont="1" applyBorder="1" applyAlignment="1">
      <alignment vertical="center"/>
    </xf>
    <xf numFmtId="181" fontId="0" fillId="0" borderId="10" xfId="0" applyNumberFormat="1" applyBorder="1" applyAlignment="1">
      <alignment vertical="center"/>
    </xf>
    <xf numFmtId="168" fontId="5" fillId="0" borderId="0" xfId="0" applyNumberFormat="1" applyFont="1" applyFill="1" applyBorder="1" applyAlignment="1" applyProtection="1">
      <alignment horizontal="center" vertical="center" wrapText="1"/>
      <protection/>
    </xf>
    <xf numFmtId="168" fontId="5" fillId="0" borderId="0" xfId="20" applyNumberFormat="1" applyFont="1" applyFill="1" applyBorder="1" applyAlignment="1" applyProtection="1">
      <alignment horizontal="center" vertical="center" wrapText="1"/>
      <protection/>
    </xf>
    <xf numFmtId="164" fontId="3" fillId="0" borderId="11" xfId="0" applyFont="1" applyBorder="1" applyAlignment="1">
      <alignment horizontal="right" vertical="center"/>
    </xf>
    <xf numFmtId="171" fontId="5" fillId="0" borderId="11" xfId="20" applyNumberFormat="1" applyFont="1" applyFill="1" applyBorder="1" applyAlignment="1" applyProtection="1">
      <alignment horizontal="center" vertical="center" wrapText="1"/>
      <protection/>
    </xf>
    <xf numFmtId="173" fontId="3" fillId="0" borderId="11" xfId="20" applyNumberFormat="1" applyFont="1" applyFill="1" applyBorder="1" applyAlignment="1" applyProtection="1">
      <alignment horizontal="center" vertical="center" wrapText="1"/>
      <protection locked="0"/>
    </xf>
    <xf numFmtId="173" fontId="0" fillId="0" borderId="11" xfId="0" applyNumberFormat="1" applyBorder="1" applyAlignment="1">
      <alignment vertical="center"/>
    </xf>
    <xf numFmtId="181" fontId="0" fillId="0" borderId="11" xfId="0" applyNumberFormat="1" applyFont="1" applyBorder="1" applyAlignment="1">
      <alignment vertical="center"/>
    </xf>
    <xf numFmtId="181" fontId="0" fillId="0" borderId="11" xfId="0" applyNumberFormat="1" applyBorder="1" applyAlignment="1">
      <alignment vertical="center"/>
    </xf>
    <xf numFmtId="164" fontId="0" fillId="0" borderId="3" xfId="0" applyFont="1" applyFill="1" applyBorder="1" applyAlignment="1">
      <alignment vertical="center"/>
    </xf>
    <xf numFmtId="164" fontId="7" fillId="0" borderId="0" xfId="0" applyFont="1" applyFill="1" applyAlignment="1">
      <alignment vertical="center"/>
    </xf>
    <xf numFmtId="164" fontId="8" fillId="0" borderId="0" xfId="0" applyFont="1" applyBorder="1" applyAlignment="1" applyProtection="1">
      <alignment horizontal="left"/>
      <protection/>
    </xf>
    <xf numFmtId="164" fontId="11" fillId="0" borderId="0" xfId="0" applyFont="1" applyBorder="1" applyAlignment="1">
      <alignment vertical="center"/>
    </xf>
    <xf numFmtId="164" fontId="3" fillId="0" borderId="0" xfId="0" applyFont="1" applyFill="1" applyBorder="1" applyAlignment="1" applyProtection="1">
      <alignment horizontal="center" vertical="center" wrapText="1"/>
      <protection/>
    </xf>
    <xf numFmtId="164" fontId="0" fillId="0" borderId="0" xfId="0" applyFill="1" applyBorder="1" applyAlignment="1">
      <alignment horizontal="center" vertical="center"/>
    </xf>
    <xf numFmtId="164" fontId="8" fillId="0" borderId="0" xfId="0" applyFont="1" applyBorder="1" applyAlignment="1">
      <alignment horizontal="right" vertical="center"/>
    </xf>
    <xf numFmtId="164" fontId="3" fillId="0" borderId="0" xfId="0" applyFont="1" applyBorder="1" applyAlignment="1">
      <alignment horizontal="center"/>
    </xf>
    <xf numFmtId="164" fontId="5" fillId="4" borderId="31" xfId="0" applyFont="1" applyFill="1" applyBorder="1" applyAlignment="1" applyProtection="1">
      <alignment horizontal="center" vertical="center"/>
      <protection locked="0"/>
    </xf>
    <xf numFmtId="164" fontId="3" fillId="5" borderId="7" xfId="0" applyFont="1" applyFill="1" applyBorder="1" applyAlignment="1">
      <alignment vertical="center"/>
    </xf>
    <xf numFmtId="164" fontId="15" fillId="4" borderId="4" xfId="0" applyFont="1" applyFill="1" applyBorder="1" applyAlignment="1">
      <alignment horizontal="center" vertical="center" wrapText="1"/>
    </xf>
    <xf numFmtId="173" fontId="3" fillId="5" borderId="4" xfId="0" applyNumberFormat="1" applyFont="1" applyFill="1" applyBorder="1" applyAlignment="1">
      <alignment horizontal="center" vertical="center"/>
    </xf>
    <xf numFmtId="164" fontId="0" fillId="0" borderId="32" xfId="0" applyFont="1" applyBorder="1" applyAlignment="1">
      <alignment vertical="center"/>
    </xf>
    <xf numFmtId="164" fontId="20" fillId="0" borderId="33" xfId="0" applyFont="1" applyBorder="1" applyAlignment="1">
      <alignment vertical="center"/>
    </xf>
    <xf numFmtId="173" fontId="3" fillId="0" borderId="0" xfId="0" applyNumberFormat="1" applyFont="1" applyBorder="1" applyAlignment="1">
      <alignment horizontal="center"/>
    </xf>
    <xf numFmtId="164" fontId="3" fillId="5" borderId="0" xfId="0" applyFont="1" applyFill="1" applyBorder="1" applyAlignment="1">
      <alignment vertical="center"/>
    </xf>
    <xf numFmtId="164" fontId="15" fillId="0" borderId="0" xfId="0" applyFont="1" applyFill="1" applyBorder="1" applyAlignment="1">
      <alignment vertical="center"/>
    </xf>
    <xf numFmtId="164" fontId="3" fillId="0" borderId="10" xfId="0" applyFont="1" applyBorder="1" applyAlignment="1">
      <alignment vertical="center"/>
    </xf>
    <xf numFmtId="164" fontId="4" fillId="3" borderId="0" xfId="0" applyFont="1" applyFill="1" applyBorder="1" applyAlignment="1">
      <alignment horizontal="center" vertical="center"/>
    </xf>
    <xf numFmtId="164" fontId="22" fillId="0" borderId="0" xfId="0" applyFont="1" applyBorder="1" applyAlignment="1">
      <alignment horizontal="right" vertical="center"/>
    </xf>
    <xf numFmtId="177" fontId="0" fillId="0" borderId="0" xfId="0" applyNumberFormat="1" applyFont="1" applyBorder="1" applyAlignment="1" applyProtection="1">
      <alignment horizontal="center" vertical="center"/>
      <protection locked="0"/>
    </xf>
    <xf numFmtId="164" fontId="22" fillId="0" borderId="34" xfId="0" applyFont="1" applyBorder="1" applyAlignment="1">
      <alignment vertical="center"/>
    </xf>
    <xf numFmtId="164" fontId="0" fillId="0" borderId="0" xfId="0" applyFont="1" applyAlignment="1">
      <alignment vertical="center"/>
    </xf>
    <xf numFmtId="164" fontId="5" fillId="6" borderId="24" xfId="0" applyFont="1" applyFill="1" applyBorder="1" applyAlignment="1">
      <alignment vertical="top" wrapText="1"/>
    </xf>
    <xf numFmtId="164" fontId="0" fillId="0" borderId="24" xfId="0" applyNumberFormat="1" applyFont="1" applyBorder="1" applyAlignment="1">
      <alignment horizontal="center" vertical="top"/>
    </xf>
    <xf numFmtId="164" fontId="22" fillId="3" borderId="24" xfId="0" applyNumberFormat="1" applyFont="1" applyFill="1" applyBorder="1" applyAlignment="1">
      <alignment horizontal="center"/>
    </xf>
    <xf numFmtId="164" fontId="34" fillId="0" borderId="24" xfId="0" applyNumberFormat="1" applyFont="1" applyBorder="1" applyAlignment="1">
      <alignment vertical="top" wrapText="1"/>
    </xf>
    <xf numFmtId="164" fontId="0" fillId="0" borderId="35" xfId="0" applyFont="1" applyBorder="1" applyAlignment="1">
      <alignment vertical="top"/>
    </xf>
    <xf numFmtId="164" fontId="0" fillId="0" borderId="36" xfId="0" applyFont="1" applyBorder="1" applyAlignment="1">
      <alignment vertical="top"/>
    </xf>
    <xf numFmtId="164" fontId="0" fillId="0" borderId="24" xfId="0" applyNumberFormat="1" applyFont="1" applyBorder="1" applyAlignment="1">
      <alignment horizontal="left" vertical="top"/>
    </xf>
    <xf numFmtId="164" fontId="34" fillId="0" borderId="26" xfId="0" applyNumberFormat="1" applyFont="1" applyBorder="1" applyAlignment="1">
      <alignment horizontal="center" vertical="top" wrapText="1"/>
    </xf>
    <xf numFmtId="164" fontId="0" fillId="0" borderId="35" xfId="0" applyFont="1" applyBorder="1" applyAlignment="1">
      <alignment horizontal="left" vertical="top"/>
    </xf>
    <xf numFmtId="164" fontId="0" fillId="0" borderId="36" xfId="0" applyFont="1" applyBorder="1" applyAlignment="1">
      <alignment horizontal="left" vertical="top"/>
    </xf>
    <xf numFmtId="164" fontId="0" fillId="5" borderId="24" xfId="0" applyFont="1" applyFill="1" applyBorder="1" applyAlignment="1" applyProtection="1">
      <alignment horizontal="left" vertical="center"/>
      <protection locked="0"/>
    </xf>
    <xf numFmtId="177" fontId="0" fillId="6" borderId="24" xfId="0" applyNumberFormat="1" applyFont="1" applyFill="1" applyBorder="1" applyAlignment="1" applyProtection="1">
      <alignment horizontal="center" vertical="center"/>
      <protection locked="0"/>
    </xf>
    <xf numFmtId="177" fontId="22" fillId="5" borderId="24" xfId="0" applyNumberFormat="1" applyFont="1" applyFill="1" applyBorder="1" applyAlignment="1" applyProtection="1">
      <alignment horizontal="center" vertical="center"/>
      <protection locked="0"/>
    </xf>
    <xf numFmtId="173" fontId="22" fillId="5" borderId="24" xfId="0" applyNumberFormat="1" applyFont="1" applyFill="1" applyBorder="1" applyAlignment="1" applyProtection="1">
      <alignment horizontal="center" vertical="center"/>
      <protection locked="0"/>
    </xf>
    <xf numFmtId="164" fontId="0" fillId="4" borderId="24" xfId="0" applyFont="1" applyFill="1" applyBorder="1" applyAlignment="1" applyProtection="1">
      <alignment horizontal="left" vertical="center" wrapText="1"/>
      <protection locked="0"/>
    </xf>
    <xf numFmtId="164" fontId="0" fillId="4" borderId="24" xfId="0" applyFont="1" applyFill="1" applyBorder="1" applyAlignment="1">
      <alignment wrapText="1"/>
    </xf>
    <xf numFmtId="164" fontId="0" fillId="0" borderId="24" xfId="0" applyFont="1" applyBorder="1" applyAlignment="1" applyProtection="1">
      <alignment horizontal="center" vertical="center"/>
      <protection locked="0"/>
    </xf>
    <xf numFmtId="164" fontId="22" fillId="0" borderId="24" xfId="0" applyFont="1" applyBorder="1" applyAlignment="1" applyProtection="1">
      <alignment horizontal="center" vertical="center"/>
      <protection locked="0"/>
    </xf>
    <xf numFmtId="164" fontId="0" fillId="0" borderId="24" xfId="0" applyFont="1" applyBorder="1" applyAlignment="1" applyProtection="1">
      <alignment horizontal="left" vertical="center"/>
      <protection locked="0"/>
    </xf>
    <xf numFmtId="171" fontId="0" fillId="0" borderId="24" xfId="0" applyNumberFormat="1" applyFont="1" applyBorder="1" applyAlignment="1" applyProtection="1">
      <alignment horizontal="center" vertical="center"/>
      <protection locked="0"/>
    </xf>
    <xf numFmtId="171" fontId="3" fillId="0" borderId="24" xfId="0" applyNumberFormat="1" applyFont="1" applyBorder="1" applyAlignment="1" applyProtection="1">
      <alignment horizontal="center" vertical="center" wrapText="1"/>
      <protection locked="0"/>
    </xf>
    <xf numFmtId="164" fontId="35" fillId="0" borderId="26" xfId="0" applyNumberFormat="1" applyFont="1" applyBorder="1" applyAlignment="1">
      <alignment horizontal="center" vertical="top" wrapText="1"/>
    </xf>
    <xf numFmtId="177" fontId="0" fillId="0" borderId="24" xfId="0" applyNumberFormat="1" applyFont="1" applyBorder="1" applyAlignment="1" applyProtection="1">
      <alignment horizontal="center" vertical="center"/>
      <protection locked="0"/>
    </xf>
    <xf numFmtId="173" fontId="0" fillId="0" borderId="24" xfId="0" applyNumberFormat="1" applyFont="1" applyBorder="1" applyAlignment="1" applyProtection="1">
      <alignment horizontal="center" vertical="center"/>
      <protection locked="0"/>
    </xf>
    <xf numFmtId="168" fontId="0" fillId="0" borderId="24" xfId="0" applyNumberFormat="1" applyFont="1" applyBorder="1" applyAlignment="1" applyProtection="1">
      <alignment horizontal="left"/>
      <protection locked="0"/>
    </xf>
    <xf numFmtId="164" fontId="34" fillId="0" borderId="24" xfId="0" applyFont="1" applyBorder="1" applyAlignment="1" applyProtection="1">
      <alignment horizontal="left" vertical="center"/>
      <protection locked="0"/>
    </xf>
    <xf numFmtId="164" fontId="0" fillId="6" borderId="24" xfId="0" applyFont="1" applyFill="1" applyBorder="1" applyAlignment="1">
      <alignment horizontal="center"/>
    </xf>
    <xf numFmtId="164" fontId="0" fillId="4" borderId="24" xfId="0" applyFont="1" applyFill="1" applyBorder="1" applyAlignment="1" applyProtection="1">
      <alignment horizontal="center"/>
      <protection locked="0"/>
    </xf>
    <xf numFmtId="164" fontId="0" fillId="4" borderId="24" xfId="0" applyFont="1" applyFill="1" applyBorder="1" applyAlignment="1" applyProtection="1">
      <alignment horizontal="center" vertical="center"/>
      <protection locked="0"/>
    </xf>
    <xf numFmtId="164" fontId="0" fillId="0" borderId="0" xfId="0" applyFont="1" applyFill="1" applyAlignment="1">
      <alignment/>
    </xf>
    <xf numFmtId="164" fontId="0" fillId="0" borderId="24" xfId="0" applyFont="1" applyBorder="1" applyAlignment="1" applyProtection="1">
      <alignment horizontal="center"/>
      <protection locked="0"/>
    </xf>
    <xf numFmtId="164" fontId="34" fillId="0" borderId="24" xfId="0" applyNumberFormat="1" applyFont="1" applyBorder="1" applyAlignment="1">
      <alignment horizontal="center" vertical="top" wrapText="1"/>
    </xf>
    <xf numFmtId="164" fontId="0" fillId="4" borderId="24" xfId="0" applyFont="1" applyFill="1" applyBorder="1" applyAlignment="1" applyProtection="1">
      <alignment horizontal="left"/>
      <protection locked="0"/>
    </xf>
    <xf numFmtId="164" fontId="0" fillId="5" borderId="24" xfId="0" applyFont="1" applyFill="1" applyBorder="1" applyAlignment="1" applyProtection="1">
      <alignment horizontal="left"/>
      <protection locked="0"/>
    </xf>
    <xf numFmtId="171" fontId="0" fillId="6" borderId="24" xfId="0" applyNumberFormat="1" applyFont="1" applyFill="1" applyBorder="1" applyAlignment="1" applyProtection="1">
      <alignment horizontal="center"/>
      <protection locked="0"/>
    </xf>
    <xf numFmtId="164" fontId="0" fillId="0" borderId="24" xfId="0" applyFont="1" applyBorder="1" applyAlignment="1">
      <alignment horizontal="center"/>
    </xf>
    <xf numFmtId="171" fontId="34" fillId="0" borderId="24" xfId="0" applyNumberFormat="1" applyFont="1" applyBorder="1" applyAlignment="1" applyProtection="1">
      <alignment horizontal="center" vertical="center" wrapText="1"/>
      <protection locked="0"/>
    </xf>
    <xf numFmtId="171" fontId="22" fillId="0" borderId="24" xfId="0" applyNumberFormat="1" applyFont="1" applyBorder="1" applyAlignment="1" applyProtection="1">
      <alignment horizontal="center" vertical="center"/>
      <protection locked="0"/>
    </xf>
    <xf numFmtId="164" fontId="0" fillId="4" borderId="24" xfId="0" applyFont="1" applyFill="1" applyBorder="1" applyAlignment="1">
      <alignment horizontal="center"/>
    </xf>
    <xf numFmtId="164" fontId="22" fillId="4" borderId="24" xfId="0" applyFont="1" applyFill="1" applyBorder="1" applyAlignment="1">
      <alignment horizontal="center" vertical="center"/>
    </xf>
    <xf numFmtId="164" fontId="0" fillId="0" borderId="0" xfId="0" applyFont="1" applyBorder="1" applyAlignment="1" applyProtection="1">
      <alignment horizontal="left"/>
      <protection locked="0"/>
    </xf>
    <xf numFmtId="171" fontId="0" fillId="0" borderId="0" xfId="0" applyNumberFormat="1" applyFont="1" applyBorder="1" applyAlignment="1" applyProtection="1">
      <alignment horizontal="left"/>
      <protection locked="0"/>
    </xf>
    <xf numFmtId="177" fontId="0" fillId="0" borderId="0" xfId="0" applyNumberFormat="1" applyFont="1" applyBorder="1" applyAlignment="1" applyProtection="1">
      <alignment horizontal="left"/>
      <protection locked="0"/>
    </xf>
    <xf numFmtId="177" fontId="22" fillId="0" borderId="26" xfId="0" applyNumberFormat="1" applyFont="1" applyFill="1" applyBorder="1" applyAlignment="1" applyProtection="1">
      <alignment horizontal="left"/>
      <protection locked="0"/>
    </xf>
    <xf numFmtId="177" fontId="22" fillId="0" borderId="24" xfId="0" applyNumberFormat="1" applyFont="1" applyBorder="1" applyAlignment="1" applyProtection="1">
      <alignment horizontal="center" vertical="center"/>
      <protection locked="0"/>
    </xf>
    <xf numFmtId="173" fontId="22" fillId="0" borderId="24" xfId="0" applyNumberFormat="1" applyFont="1" applyBorder="1" applyAlignment="1" applyProtection="1">
      <alignment horizontal="center" vertical="center"/>
      <protection locked="0"/>
    </xf>
    <xf numFmtId="168" fontId="0" fillId="0" borderId="0" xfId="0" applyNumberFormat="1" applyFont="1" applyBorder="1" applyAlignment="1" applyProtection="1">
      <alignment horizontal="left"/>
      <protection locked="0"/>
    </xf>
    <xf numFmtId="173" fontId="0" fillId="0" borderId="0" xfId="0" applyNumberFormat="1" applyFont="1" applyBorder="1" applyAlignment="1" applyProtection="1">
      <alignment horizontal="left"/>
      <protection locked="0"/>
    </xf>
    <xf numFmtId="164" fontId="0" fillId="0" borderId="34" xfId="0" applyFont="1" applyBorder="1" applyAlignment="1" applyProtection="1">
      <alignment horizontal="left"/>
      <protection locked="0"/>
    </xf>
    <xf numFmtId="171" fontId="0" fillId="0" borderId="34" xfId="0" applyNumberFormat="1" applyFont="1" applyBorder="1" applyAlignment="1" applyProtection="1">
      <alignment horizontal="left"/>
      <protection locked="0"/>
    </xf>
    <xf numFmtId="177" fontId="0" fillId="0" borderId="34" xfId="0" applyNumberFormat="1" applyFont="1" applyBorder="1" applyAlignment="1" applyProtection="1">
      <alignment horizontal="left"/>
      <protection locked="0"/>
    </xf>
    <xf numFmtId="168" fontId="0" fillId="0" borderId="34" xfId="0" applyNumberFormat="1" applyFont="1" applyBorder="1" applyAlignment="1" applyProtection="1">
      <alignment horizontal="left"/>
      <protection locked="0"/>
    </xf>
    <xf numFmtId="171" fontId="3" fillId="5" borderId="30" xfId="0" applyNumberFormat="1" applyFont="1" applyFill="1" applyBorder="1" applyAlignment="1">
      <alignment horizontal="center" vertical="center"/>
    </xf>
    <xf numFmtId="164" fontId="20" fillId="0" borderId="0" xfId="0" applyFont="1" applyFill="1" applyAlignment="1">
      <alignment/>
    </xf>
    <xf numFmtId="168" fontId="22" fillId="0" borderId="0" xfId="0" applyNumberFormat="1" applyFont="1" applyFill="1" applyBorder="1" applyAlignment="1" applyProtection="1">
      <alignment horizontal="center" vertical="center"/>
      <protection/>
    </xf>
    <xf numFmtId="164" fontId="3" fillId="0" borderId="0" xfId="0" applyFont="1" applyBorder="1" applyAlignment="1" applyProtection="1">
      <alignment horizontal="right" vertical="center"/>
      <protection/>
    </xf>
    <xf numFmtId="168" fontId="20" fillId="0" borderId="0" xfId="0" applyNumberFormat="1" applyFont="1" applyFill="1" applyBorder="1" applyAlignment="1" applyProtection="1">
      <alignment horizontal="left" vertical="center"/>
      <protection/>
    </xf>
    <xf numFmtId="164" fontId="4" fillId="0" borderId="0" xfId="0" applyFont="1" applyFill="1" applyBorder="1" applyAlignment="1" applyProtection="1">
      <alignment horizontal="left" vertical="center"/>
      <protection/>
    </xf>
    <xf numFmtId="164" fontId="20" fillId="0" borderId="0" xfId="0" applyFont="1" applyBorder="1" applyAlignment="1">
      <alignment vertical="center"/>
    </xf>
    <xf numFmtId="164" fontId="5" fillId="0" borderId="4" xfId="0" applyFont="1" applyFill="1" applyBorder="1" applyAlignment="1">
      <alignment horizontal="center" vertical="center" wrapText="1"/>
    </xf>
    <xf numFmtId="164" fontId="5" fillId="4" borderId="2" xfId="0" applyFont="1" applyFill="1" applyBorder="1" applyAlignment="1" applyProtection="1">
      <alignment horizontal="center" vertical="center"/>
      <protection locked="0"/>
    </xf>
    <xf numFmtId="171" fontId="3" fillId="5" borderId="4" xfId="0" applyNumberFormat="1" applyFont="1" applyFill="1" applyBorder="1" applyAlignment="1" applyProtection="1">
      <alignment horizontal="center" vertical="center" wrapText="1"/>
      <protection locked="0"/>
    </xf>
    <xf numFmtId="164" fontId="3" fillId="5" borderId="4" xfId="0" applyFont="1" applyFill="1" applyBorder="1" applyAlignment="1" applyProtection="1">
      <alignment horizontal="center" vertical="center"/>
      <protection/>
    </xf>
    <xf numFmtId="177" fontId="3" fillId="5" borderId="4" xfId="20" applyNumberFormat="1" applyFont="1" applyFill="1" applyBorder="1" applyAlignment="1" applyProtection="1">
      <alignment horizontal="center" vertical="center" wrapText="1"/>
      <protection/>
    </xf>
    <xf numFmtId="165" fontId="0" fillId="0" borderId="0" xfId="20" applyBorder="1">
      <alignment/>
      <protection/>
    </xf>
    <xf numFmtId="164" fontId="3" fillId="0" borderId="23" xfId="0" applyFont="1" applyBorder="1" applyAlignment="1">
      <alignment horizontal="left" vertical="center"/>
    </xf>
    <xf numFmtId="164" fontId="15" fillId="0" borderId="37" xfId="0" applyFont="1" applyBorder="1" applyAlignment="1">
      <alignment horizontal="left" vertical="center"/>
    </xf>
    <xf numFmtId="177" fontId="5" fillId="5" borderId="4" xfId="20" applyNumberFormat="1" applyFont="1" applyFill="1" applyBorder="1" applyAlignment="1" applyProtection="1">
      <alignment horizontal="center" vertical="center" wrapText="1"/>
      <protection/>
    </xf>
    <xf numFmtId="173" fontId="3" fillId="0" borderId="0" xfId="0" applyNumberFormat="1" applyFont="1" applyAlignment="1">
      <alignment vertical="center"/>
    </xf>
    <xf numFmtId="164" fontId="15" fillId="0" borderId="38" xfId="0" applyFont="1" applyBorder="1" applyAlignment="1">
      <alignment horizontal="left" vertical="center"/>
    </xf>
    <xf numFmtId="164" fontId="3" fillId="0" borderId="10" xfId="0" applyFont="1" applyBorder="1" applyAlignment="1">
      <alignment horizontal="center" vertical="center"/>
    </xf>
    <xf numFmtId="164" fontId="13" fillId="0" borderId="0" xfId="0" applyFont="1" applyAlignment="1">
      <alignment vertical="center"/>
    </xf>
    <xf numFmtId="164" fontId="12" fillId="0" borderId="2" xfId="0" applyFont="1" applyFill="1" applyBorder="1" applyAlignment="1">
      <alignment horizontal="center" vertical="center" wrapText="1"/>
    </xf>
    <xf numFmtId="164" fontId="15" fillId="0" borderId="39" xfId="0" applyFont="1" applyFill="1" applyBorder="1" applyAlignment="1">
      <alignment horizontal="center" vertical="center" wrapText="1"/>
    </xf>
    <xf numFmtId="164" fontId="5" fillId="0" borderId="4" xfId="0" applyFont="1" applyBorder="1" applyAlignment="1" applyProtection="1">
      <alignment horizontal="center" vertical="center"/>
      <protection locked="0"/>
    </xf>
    <xf numFmtId="171" fontId="3" fillId="4" borderId="4" xfId="0" applyNumberFormat="1" applyFont="1" applyFill="1" applyBorder="1" applyAlignment="1" applyProtection="1">
      <alignment horizontal="center" vertical="center" wrapText="1"/>
      <protection locked="0"/>
    </xf>
    <xf numFmtId="164" fontId="0" fillId="4" borderId="4" xfId="0" applyFont="1" applyFill="1" applyBorder="1" applyAlignment="1">
      <alignment vertical="center"/>
    </xf>
    <xf numFmtId="164" fontId="15" fillId="0" borderId="0" xfId="0" applyFont="1" applyBorder="1" applyAlignment="1">
      <alignment horizontal="right" vertical="center"/>
    </xf>
    <xf numFmtId="168" fontId="22" fillId="0" borderId="0" xfId="20" applyNumberFormat="1" applyFont="1" applyFill="1" applyBorder="1" applyAlignment="1" applyProtection="1">
      <alignment horizontal="right" vertical="center" wrapText="1"/>
      <protection/>
    </xf>
    <xf numFmtId="173" fontId="15" fillId="0" borderId="0" xfId="0" applyNumberFormat="1" applyFont="1" applyBorder="1" applyAlignment="1">
      <alignment horizontal="left" vertical="center"/>
    </xf>
    <xf numFmtId="175" fontId="3" fillId="0" borderId="0" xfId="0" applyNumberFormat="1" applyFont="1" applyFill="1" applyBorder="1" applyAlignment="1">
      <alignment horizontal="center" vertical="center"/>
    </xf>
    <xf numFmtId="164" fontId="13" fillId="0" borderId="0" xfId="0" applyFont="1" applyAlignment="1">
      <alignment/>
    </xf>
    <xf numFmtId="164" fontId="3" fillId="4" borderId="4" xfId="0" applyFont="1" applyFill="1" applyBorder="1" applyAlignment="1" applyProtection="1">
      <alignment horizontal="center" vertical="center"/>
      <protection/>
    </xf>
    <xf numFmtId="164" fontId="0" fillId="0" borderId="17" xfId="0" applyFont="1" applyBorder="1" applyAlignment="1">
      <alignment vertical="center"/>
    </xf>
    <xf numFmtId="171" fontId="3" fillId="5" borderId="4" xfId="0" applyNumberFormat="1" applyFont="1" applyFill="1" applyBorder="1" applyAlignment="1" applyProtection="1">
      <alignment horizontal="center" vertical="center"/>
      <protection/>
    </xf>
    <xf numFmtId="174" fontId="3" fillId="5" borderId="4" xfId="0" applyNumberFormat="1" applyFont="1" applyFill="1" applyBorder="1" applyAlignment="1">
      <alignment horizontal="center" vertical="center"/>
    </xf>
    <xf numFmtId="164" fontId="3" fillId="0" borderId="0" xfId="0" applyFont="1" applyAlignment="1">
      <alignment/>
    </xf>
    <xf numFmtId="164" fontId="5" fillId="0" borderId="0" xfId="0" applyFont="1" applyFill="1" applyBorder="1" applyAlignment="1" applyProtection="1">
      <alignment horizontal="left" vertical="center"/>
      <protection/>
    </xf>
    <xf numFmtId="164" fontId="10" fillId="0" borderId="0" xfId="0" applyFont="1" applyFill="1" applyAlignment="1">
      <alignment vertical="center"/>
    </xf>
    <xf numFmtId="171" fontId="3" fillId="0" borderId="3" xfId="0" applyNumberFormat="1" applyFont="1" applyFill="1" applyBorder="1" applyAlignment="1">
      <alignment horizontal="center" vertical="center"/>
    </xf>
    <xf numFmtId="164" fontId="3" fillId="6" borderId="3" xfId="0" applyFont="1" applyFill="1" applyBorder="1" applyAlignment="1" applyProtection="1">
      <alignment vertical="center"/>
      <protection/>
    </xf>
    <xf numFmtId="164" fontId="5" fillId="6" borderId="3" xfId="0" applyFont="1" applyFill="1" applyBorder="1" applyAlignment="1" applyProtection="1">
      <alignment horizontal="left" vertical="center"/>
      <protection/>
    </xf>
    <xf numFmtId="164" fontId="22" fillId="0" borderId="0" xfId="0" applyFont="1" applyBorder="1" applyAlignment="1">
      <alignment vertical="center"/>
    </xf>
    <xf numFmtId="164" fontId="25" fillId="0" borderId="0" xfId="0" applyFont="1" applyBorder="1" applyAlignment="1">
      <alignment vertical="center"/>
    </xf>
    <xf numFmtId="164" fontId="4" fillId="0" borderId="0" xfId="0" applyFont="1" applyFill="1" applyAlignment="1">
      <alignment vertical="center"/>
    </xf>
    <xf numFmtId="164" fontId="4" fillId="0" borderId="0" xfId="0" applyFont="1" applyBorder="1" applyAlignment="1">
      <alignment vertical="center"/>
    </xf>
    <xf numFmtId="164" fontId="22" fillId="0" borderId="0" xfId="0" applyFont="1" applyAlignment="1">
      <alignment vertical="center"/>
    </xf>
    <xf numFmtId="171" fontId="5" fillId="4" borderId="4" xfId="0" applyNumberFormat="1" applyFont="1" applyFill="1" applyBorder="1" applyAlignment="1">
      <alignment horizontal="center" vertical="center"/>
    </xf>
    <xf numFmtId="164" fontId="3" fillId="0" borderId="4" xfId="0" applyFont="1" applyBorder="1" applyAlignment="1">
      <alignment horizontal="center" vertical="center" wrapText="1"/>
    </xf>
    <xf numFmtId="164" fontId="3" fillId="0" borderId="4" xfId="0" applyFont="1" applyBorder="1" applyAlignment="1">
      <alignment vertical="center" wrapText="1"/>
    </xf>
    <xf numFmtId="164" fontId="5" fillId="0" borderId="0" xfId="0" applyFont="1" applyFill="1" applyBorder="1" applyAlignment="1" applyProtection="1">
      <alignment vertical="center"/>
      <protection/>
    </xf>
    <xf numFmtId="182" fontId="3" fillId="0" borderId="0" xfId="0" applyNumberFormat="1" applyFont="1" applyAlignment="1">
      <alignment vertical="center"/>
    </xf>
    <xf numFmtId="164" fontId="5" fillId="4" borderId="40" xfId="0" applyFont="1" applyFill="1" applyBorder="1" applyAlignment="1" applyProtection="1">
      <alignment horizontal="left" vertical="center"/>
      <protection locked="0"/>
    </xf>
    <xf numFmtId="164" fontId="3" fillId="4" borderId="4" xfId="0" applyFont="1" applyFill="1" applyBorder="1" applyAlignment="1">
      <alignment vertical="center"/>
    </xf>
    <xf numFmtId="168" fontId="3" fillId="5" borderId="4" xfId="0" applyNumberFormat="1" applyFont="1" applyFill="1" applyBorder="1" applyAlignment="1">
      <alignment horizontal="center" vertical="center"/>
    </xf>
    <xf numFmtId="173" fontId="3" fillId="5" borderId="4" xfId="0" applyNumberFormat="1" applyFont="1" applyFill="1" applyBorder="1" applyAlignment="1">
      <alignment vertical="center"/>
    </xf>
    <xf numFmtId="175" fontId="3" fillId="5" borderId="0" xfId="0" applyNumberFormat="1" applyFont="1" applyFill="1" applyBorder="1" applyAlignment="1">
      <alignment vertical="center"/>
    </xf>
    <xf numFmtId="164" fontId="3" fillId="5" borderId="30" xfId="0" applyNumberFormat="1" applyFont="1" applyFill="1" applyBorder="1" applyAlignment="1">
      <alignment horizontal="center" vertical="center"/>
    </xf>
    <xf numFmtId="164" fontId="20" fillId="0" borderId="0" xfId="0" applyFont="1" applyFill="1" applyBorder="1" applyAlignment="1">
      <alignment vertical="center"/>
    </xf>
    <xf numFmtId="164" fontId="5" fillId="0" borderId="0" xfId="0" applyFont="1" applyFill="1" applyBorder="1" applyAlignment="1" applyProtection="1">
      <alignment horizontal="left" vertical="center"/>
      <protection locked="0"/>
    </xf>
    <xf numFmtId="164" fontId="5" fillId="5" borderId="41" xfId="0" applyNumberFormat="1" applyFont="1" applyFill="1" applyBorder="1" applyAlignment="1">
      <alignment horizontal="center" vertical="center"/>
    </xf>
    <xf numFmtId="171" fontId="5" fillId="5" borderId="42" xfId="0" applyNumberFormat="1" applyFont="1" applyFill="1" applyBorder="1" applyAlignment="1">
      <alignment horizontal="center" vertical="center"/>
    </xf>
    <xf numFmtId="173" fontId="5" fillId="5" borderId="43" xfId="0" applyNumberFormat="1" applyFont="1" applyFill="1" applyBorder="1" applyAlignment="1">
      <alignment vertical="center"/>
    </xf>
    <xf numFmtId="173" fontId="5" fillId="5" borderId="44" xfId="0" applyNumberFormat="1" applyFont="1" applyFill="1" applyBorder="1" applyAlignment="1">
      <alignment vertical="center"/>
    </xf>
    <xf numFmtId="164" fontId="3" fillId="4" borderId="4" xfId="0" applyFont="1" applyFill="1" applyBorder="1" applyAlignment="1" applyProtection="1">
      <alignment horizontal="center" vertical="center"/>
      <protection locked="0"/>
    </xf>
    <xf numFmtId="164" fontId="5" fillId="5" borderId="42" xfId="0" applyNumberFormat="1" applyFont="1" applyFill="1" applyBorder="1" applyAlignment="1">
      <alignment horizontal="center" vertical="center"/>
    </xf>
    <xf numFmtId="164" fontId="0" fillId="4" borderId="4" xfId="0" applyFill="1" applyBorder="1" applyAlignment="1">
      <alignment horizontal="center"/>
    </xf>
    <xf numFmtId="164" fontId="3" fillId="0" borderId="4" xfId="0" applyFont="1" applyFill="1" applyBorder="1" applyAlignment="1">
      <alignment vertical="center" wrapText="1"/>
    </xf>
    <xf numFmtId="171" fontId="5" fillId="5" borderId="41" xfId="0" applyNumberFormat="1" applyFont="1" applyFill="1" applyBorder="1" applyAlignment="1">
      <alignment horizontal="center" vertical="center"/>
    </xf>
    <xf numFmtId="171" fontId="3" fillId="0" borderId="0" xfId="0" applyNumberFormat="1" applyFont="1" applyAlignment="1">
      <alignment vertical="center"/>
    </xf>
    <xf numFmtId="164" fontId="3" fillId="0" borderId="4" xfId="0" applyFont="1" applyBorder="1" applyAlignment="1">
      <alignment vertical="center"/>
    </xf>
    <xf numFmtId="164" fontId="3" fillId="6" borderId="4" xfId="0" applyFont="1" applyFill="1" applyBorder="1" applyAlignment="1">
      <alignment horizontal="center" vertical="center"/>
    </xf>
    <xf numFmtId="182" fontId="3" fillId="0" borderId="0" xfId="0" applyNumberFormat="1" applyFont="1" applyFill="1" applyAlignment="1">
      <alignment horizontal="right" vertical="center"/>
    </xf>
    <xf numFmtId="164" fontId="3" fillId="0" borderId="30" xfId="0" applyFont="1" applyBorder="1" applyAlignment="1">
      <alignment horizontal="center" vertical="center" wrapText="1"/>
    </xf>
    <xf numFmtId="164" fontId="5" fillId="5" borderId="4" xfId="0" applyNumberFormat="1" applyFont="1" applyFill="1" applyBorder="1" applyAlignment="1">
      <alignment horizontal="center" vertical="center"/>
    </xf>
    <xf numFmtId="164" fontId="3" fillId="5" borderId="45" xfId="0" applyFont="1" applyFill="1" applyBorder="1" applyAlignment="1">
      <alignment horizontal="center" vertical="center"/>
    </xf>
    <xf numFmtId="173" fontId="5" fillId="5" borderId="41" xfId="0" applyNumberFormat="1" applyFont="1" applyFill="1" applyBorder="1" applyAlignment="1">
      <alignment vertical="center"/>
    </xf>
    <xf numFmtId="171" fontId="5" fillId="0" borderId="0" xfId="0" applyNumberFormat="1" applyFont="1" applyFill="1" applyBorder="1" applyAlignment="1">
      <alignment horizontal="center" vertical="center"/>
    </xf>
    <xf numFmtId="164" fontId="0" fillId="0" borderId="0" xfId="0" applyFont="1" applyBorder="1" applyAlignment="1">
      <alignment horizontal="center"/>
    </xf>
    <xf numFmtId="164" fontId="5" fillId="0" borderId="0" xfId="0" applyFont="1" applyFill="1" applyAlignment="1">
      <alignment horizontal="right" vertical="center"/>
    </xf>
    <xf numFmtId="164" fontId="3" fillId="0" borderId="46" xfId="0" applyFont="1" applyBorder="1" applyAlignment="1">
      <alignment horizontal="center" vertical="center" wrapText="1"/>
    </xf>
    <xf numFmtId="164" fontId="3" fillId="5" borderId="30" xfId="0" applyFont="1" applyFill="1" applyBorder="1" applyAlignment="1">
      <alignment horizontal="center" vertical="center"/>
    </xf>
    <xf numFmtId="173" fontId="3" fillId="5" borderId="30" xfId="0" applyNumberFormat="1" applyFont="1" applyFill="1" applyBorder="1" applyAlignment="1">
      <alignment vertical="center"/>
    </xf>
    <xf numFmtId="164" fontId="5" fillId="5" borderId="43" xfId="0" applyFont="1" applyFill="1" applyBorder="1" applyAlignment="1">
      <alignment horizontal="center" vertical="center"/>
    </xf>
    <xf numFmtId="164" fontId="5" fillId="0" borderId="0" xfId="0" applyFont="1" applyFill="1" applyBorder="1" applyAlignment="1">
      <alignment horizontal="right" vertical="center"/>
    </xf>
    <xf numFmtId="173" fontId="5" fillId="0" borderId="0" xfId="0" applyNumberFormat="1" applyFont="1" applyFill="1" applyBorder="1" applyAlignment="1">
      <alignment vertical="center"/>
    </xf>
    <xf numFmtId="164" fontId="22" fillId="0" borderId="0" xfId="0" applyFont="1" applyAlignment="1">
      <alignment/>
    </xf>
    <xf numFmtId="164" fontId="9" fillId="0" borderId="0" xfId="0" applyFont="1" applyAlignment="1">
      <alignment/>
    </xf>
    <xf numFmtId="164" fontId="9" fillId="0" borderId="0" xfId="0" applyFont="1" applyFill="1" applyBorder="1" applyAlignment="1">
      <alignment wrapText="1"/>
    </xf>
    <xf numFmtId="164" fontId="9" fillId="4" borderId="8" xfId="0" applyFont="1" applyFill="1" applyBorder="1" applyAlignment="1">
      <alignment horizontal="center" wrapText="1"/>
    </xf>
    <xf numFmtId="164" fontId="9" fillId="0" borderId="0" xfId="0" applyFont="1" applyBorder="1" applyAlignment="1">
      <alignment/>
    </xf>
    <xf numFmtId="164" fontId="9" fillId="0" borderId="0" xfId="0" applyFont="1" applyBorder="1" applyAlignment="1">
      <alignment wrapText="1"/>
    </xf>
    <xf numFmtId="164" fontId="9" fillId="10" borderId="7" xfId="0" applyFont="1" applyFill="1" applyBorder="1" applyAlignment="1">
      <alignment/>
    </xf>
    <xf numFmtId="164" fontId="9" fillId="4" borderId="47" xfId="0" applyFont="1" applyFill="1" applyBorder="1" applyAlignment="1">
      <alignment horizontal="center"/>
    </xf>
    <xf numFmtId="164" fontId="9" fillId="4" borderId="8" xfId="0" applyFont="1" applyFill="1" applyBorder="1" applyAlignment="1">
      <alignment horizontal="center"/>
    </xf>
    <xf numFmtId="164" fontId="9" fillId="0" borderId="0" xfId="0" applyFont="1" applyBorder="1" applyAlignment="1">
      <alignment horizontal="left" vertical="top" wrapText="1"/>
    </xf>
    <xf numFmtId="164" fontId="9" fillId="0" borderId="0" xfId="0" applyFont="1" applyBorder="1" applyAlignment="1">
      <alignment horizontal="left" wrapText="1"/>
    </xf>
    <xf numFmtId="164" fontId="9" fillId="0" borderId="0" xfId="0" applyFont="1" applyAlignment="1">
      <alignment wrapText="1"/>
    </xf>
    <xf numFmtId="164" fontId="0" fillId="0" borderId="0" xfId="0" applyFont="1" applyAlignment="1">
      <alignment wrapText="1"/>
    </xf>
    <xf numFmtId="164" fontId="9" fillId="0" borderId="0" xfId="0" applyFont="1" applyAlignment="1">
      <alignment/>
    </xf>
    <xf numFmtId="164" fontId="9" fillId="10" borderId="7" xfId="0" applyFont="1" applyFill="1" applyBorder="1" applyAlignment="1">
      <alignment horizontal="left" wrapText="1"/>
    </xf>
    <xf numFmtId="164" fontId="9" fillId="4" borderId="48" xfId="0" applyFont="1" applyFill="1" applyBorder="1" applyAlignment="1">
      <alignment/>
    </xf>
    <xf numFmtId="164" fontId="9" fillId="10" borderId="7" xfId="0" applyFont="1" applyFill="1" applyBorder="1" applyAlignment="1">
      <alignment horizontal="left" vertical="top" wrapText="1"/>
    </xf>
    <xf numFmtId="164" fontId="9" fillId="6" borderId="49" xfId="0" applyFont="1" applyFill="1" applyBorder="1" applyAlignment="1">
      <alignment vertical="center"/>
    </xf>
    <xf numFmtId="164" fontId="9" fillId="4" borderId="48" xfId="0" applyFont="1" applyFill="1" applyBorder="1" applyAlignment="1">
      <alignment horizontal="center" wrapText="1"/>
    </xf>
    <xf numFmtId="164" fontId="3" fillId="0" borderId="0" xfId="0" applyFont="1" applyAlignment="1">
      <alignment/>
    </xf>
    <xf numFmtId="164" fontId="9" fillId="0" borderId="0" xfId="0" applyFont="1" applyFill="1" applyBorder="1" applyAlignment="1">
      <alignment/>
    </xf>
    <xf numFmtId="164" fontId="9" fillId="4" borderId="50" xfId="0" applyFont="1" applyFill="1" applyBorder="1" applyAlignment="1">
      <alignment horizontal="center"/>
    </xf>
    <xf numFmtId="164" fontId="3" fillId="0" borderId="0" xfId="0" applyFont="1" applyBorder="1" applyAlignment="1">
      <alignment wrapText="1"/>
    </xf>
    <xf numFmtId="164" fontId="9" fillId="4" borderId="51" xfId="0" applyFont="1" applyFill="1" applyBorder="1" applyAlignment="1">
      <alignment horizontal="center"/>
    </xf>
    <xf numFmtId="164" fontId="3" fillId="0" borderId="0" xfId="0" applyFont="1" applyAlignment="1">
      <alignment/>
    </xf>
    <xf numFmtId="164" fontId="3" fillId="0" borderId="0" xfId="0" applyFont="1" applyAlignment="1">
      <alignment wrapText="1"/>
    </xf>
    <xf numFmtId="164" fontId="3" fillId="0" borderId="0" xfId="0" applyFont="1" applyBorder="1" applyAlignment="1">
      <alignment horizontal="left"/>
    </xf>
    <xf numFmtId="164" fontId="3" fillId="10" borderId="7" xfId="0" applyFont="1" applyFill="1" applyBorder="1" applyAlignment="1">
      <alignment horizontal="left" vertical="top" wrapText="1"/>
    </xf>
    <xf numFmtId="164" fontId="2" fillId="0" borderId="0" xfId="0" applyFont="1" applyAlignment="1">
      <alignment horizontal="center"/>
    </xf>
    <xf numFmtId="164" fontId="3" fillId="0" borderId="0" xfId="0" applyFont="1" applyFill="1" applyBorder="1" applyAlignment="1">
      <alignment vertical="center"/>
    </xf>
    <xf numFmtId="164" fontId="36" fillId="0" borderId="0" xfId="0" applyFont="1" applyFill="1" applyBorder="1" applyAlignment="1">
      <alignment vertical="center"/>
    </xf>
    <xf numFmtId="164" fontId="6" fillId="0" borderId="4" xfId="0" applyFont="1" applyBorder="1" applyAlignment="1">
      <alignment horizontal="center" wrapText="1"/>
    </xf>
    <xf numFmtId="164" fontId="0" fillId="0" borderId="0" xfId="0" applyBorder="1" applyAlignment="1">
      <alignment horizontal="center" vertical="center"/>
    </xf>
    <xf numFmtId="164" fontId="7" fillId="0" borderId="0" xfId="0" applyFont="1" applyAlignment="1">
      <alignment/>
    </xf>
    <xf numFmtId="164" fontId="0" fillId="0" borderId="52" xfId="0" applyBorder="1" applyAlignment="1">
      <alignment/>
    </xf>
    <xf numFmtId="164" fontId="3" fillId="0" borderId="0" xfId="0" applyFont="1" applyAlignment="1">
      <alignment horizontal="right"/>
    </xf>
    <xf numFmtId="164" fontId="0" fillId="0" borderId="13" xfId="0" applyFont="1" applyBorder="1" applyAlignment="1">
      <alignment/>
    </xf>
    <xf numFmtId="164" fontId="0" fillId="5" borderId="4" xfId="0" applyNumberFormat="1" applyFill="1" applyBorder="1" applyAlignment="1">
      <alignment/>
    </xf>
    <xf numFmtId="164" fontId="3" fillId="0" borderId="11" xfId="0" applyFont="1" applyBorder="1" applyAlignment="1">
      <alignment horizontal="center"/>
    </xf>
    <xf numFmtId="164" fontId="22" fillId="0" borderId="4" xfId="0" applyFont="1" applyBorder="1" applyAlignment="1">
      <alignment horizontal="center"/>
    </xf>
    <xf numFmtId="164" fontId="0" fillId="0" borderId="53" xfId="0" applyBorder="1" applyAlignment="1">
      <alignment/>
    </xf>
    <xf numFmtId="164" fontId="0" fillId="0" borderId="11" xfId="0" applyBorder="1" applyAlignment="1">
      <alignment/>
    </xf>
    <xf numFmtId="164" fontId="3" fillId="0" borderId="11" xfId="0" applyFont="1" applyBorder="1" applyAlignment="1">
      <alignment horizontal="right"/>
    </xf>
    <xf numFmtId="164" fontId="0" fillId="0" borderId="14" xfId="0" applyFont="1" applyBorder="1" applyAlignment="1">
      <alignment/>
    </xf>
    <xf numFmtId="174" fontId="3" fillId="5" borderId="4" xfId="0" applyNumberFormat="1" applyFont="1" applyFill="1" applyBorder="1" applyAlignment="1">
      <alignment horizontal="center"/>
    </xf>
    <xf numFmtId="164" fontId="7" fillId="0" borderId="0" xfId="0" applyFont="1" applyAlignment="1">
      <alignment/>
    </xf>
    <xf numFmtId="164" fontId="3" fillId="5" borderId="4" xfId="0" applyNumberFormat="1" applyFont="1" applyFill="1" applyBorder="1" applyAlignment="1">
      <alignment horizontal="center"/>
    </xf>
    <xf numFmtId="164" fontId="20" fillId="0" borderId="0" xfId="0" applyFont="1" applyAlignment="1">
      <alignment/>
    </xf>
    <xf numFmtId="164" fontId="10" fillId="0" borderId="0" xfId="0" applyFont="1" applyAlignment="1">
      <alignment/>
    </xf>
    <xf numFmtId="164" fontId="0" fillId="0" borderId="0" xfId="0" applyFont="1" applyAlignment="1">
      <alignment horizontal="right"/>
    </xf>
    <xf numFmtId="164" fontId="4" fillId="0" borderId="0" xfId="0" applyFont="1" applyAlignment="1">
      <alignment/>
    </xf>
    <xf numFmtId="164" fontId="6" fillId="0" borderId="30" xfId="0" applyFont="1" applyBorder="1" applyAlignment="1">
      <alignment horizontal="center" vertical="center"/>
    </xf>
    <xf numFmtId="164" fontId="6" fillId="0" borderId="30" xfId="0" applyFont="1" applyBorder="1" applyAlignment="1">
      <alignment horizontal="center" vertical="center" wrapText="1"/>
    </xf>
    <xf numFmtId="164" fontId="9" fillId="0" borderId="0" xfId="0" applyFont="1" applyAlignment="1">
      <alignment/>
    </xf>
    <xf numFmtId="164" fontId="9" fillId="0" borderId="54" xfId="0" applyFont="1" applyBorder="1" applyAlignment="1">
      <alignment horizontal="center" vertical="center" wrapText="1"/>
    </xf>
    <xf numFmtId="164" fontId="9" fillId="0" borderId="55" xfId="0" applyFont="1" applyBorder="1" applyAlignment="1">
      <alignment horizontal="center" vertical="center" wrapText="1"/>
    </xf>
    <xf numFmtId="164" fontId="6" fillId="0" borderId="56" xfId="0" applyFont="1" applyBorder="1" applyAlignment="1">
      <alignment horizontal="center"/>
    </xf>
    <xf numFmtId="164" fontId="6" fillId="0" borderId="57" xfId="0" applyFont="1" applyBorder="1" applyAlignment="1">
      <alignment horizontal="center"/>
    </xf>
    <xf numFmtId="164" fontId="6" fillId="8" borderId="58" xfId="0" applyFont="1" applyFill="1" applyBorder="1" applyAlignment="1">
      <alignment horizontal="center"/>
    </xf>
    <xf numFmtId="164" fontId="6" fillId="5" borderId="59" xfId="0" applyFont="1" applyFill="1" applyBorder="1" applyAlignment="1">
      <alignment horizontal="center" vertical="center" wrapText="1"/>
    </xf>
    <xf numFmtId="164" fontId="6" fillId="0" borderId="60" xfId="0" applyFont="1" applyBorder="1" applyAlignment="1">
      <alignment horizontal="center"/>
    </xf>
    <xf numFmtId="164" fontId="6" fillId="0" borderId="54" xfId="0" applyFont="1" applyBorder="1" applyAlignment="1">
      <alignment horizontal="center"/>
    </xf>
    <xf numFmtId="164" fontId="6" fillId="8" borderId="56" xfId="0" applyFont="1" applyFill="1" applyBorder="1" applyAlignment="1">
      <alignment horizontal="center"/>
    </xf>
    <xf numFmtId="164" fontId="6" fillId="0" borderId="0" xfId="0" applyFont="1" applyAlignment="1">
      <alignment horizontal="left" vertical="center" wrapText="1"/>
    </xf>
    <xf numFmtId="164" fontId="9" fillId="0" borderId="61" xfId="0" applyFont="1" applyBorder="1" applyAlignment="1">
      <alignment horizontal="center" vertical="center" wrapText="1"/>
    </xf>
    <xf numFmtId="164" fontId="9" fillId="0" borderId="4" xfId="0" applyFont="1" applyBorder="1" applyAlignment="1">
      <alignment horizontal="center" vertical="center" wrapText="1"/>
    </xf>
    <xf numFmtId="164" fontId="9" fillId="0" borderId="2" xfId="0" applyFont="1" applyBorder="1" applyAlignment="1">
      <alignment horizontal="center" vertical="center" wrapText="1"/>
    </xf>
    <xf numFmtId="164" fontId="9" fillId="0" borderId="45" xfId="0" applyFont="1" applyBorder="1" applyAlignment="1">
      <alignment horizontal="center" vertical="center" wrapText="1"/>
    </xf>
    <xf numFmtId="164" fontId="9" fillId="0" borderId="15" xfId="0" applyFont="1" applyBorder="1" applyAlignment="1">
      <alignment horizontal="center" vertical="center" wrapText="1"/>
    </xf>
    <xf numFmtId="164" fontId="9" fillId="8" borderId="62" xfId="0" applyFont="1" applyFill="1" applyBorder="1" applyAlignment="1">
      <alignment horizontal="center" vertical="center" wrapText="1"/>
    </xf>
    <xf numFmtId="164" fontId="9" fillId="8" borderId="63" xfId="0" applyFont="1" applyFill="1" applyBorder="1" applyAlignment="1">
      <alignment horizontal="center" vertical="center" wrapText="1"/>
    </xf>
    <xf numFmtId="164" fontId="9" fillId="0" borderId="0" xfId="0" applyFont="1" applyBorder="1" applyAlignment="1">
      <alignment horizontal="center" vertical="center" wrapText="1"/>
    </xf>
    <xf numFmtId="164" fontId="9" fillId="0" borderId="64" xfId="0" applyFont="1" applyBorder="1" applyAlignment="1">
      <alignment horizontal="center" vertical="center" wrapText="1"/>
    </xf>
    <xf numFmtId="164" fontId="9" fillId="8" borderId="61" xfId="0" applyFont="1" applyFill="1" applyBorder="1" applyAlignment="1">
      <alignment horizontal="center" vertical="center" wrapText="1"/>
    </xf>
    <xf numFmtId="164" fontId="9" fillId="8" borderId="45" xfId="0" applyFont="1" applyFill="1" applyBorder="1" applyAlignment="1">
      <alignment horizontal="center" vertical="center" wrapText="1"/>
    </xf>
    <xf numFmtId="164" fontId="9" fillId="0" borderId="0" xfId="0" applyFont="1" applyAlignment="1">
      <alignment vertical="center" wrapText="1"/>
    </xf>
    <xf numFmtId="164" fontId="6" fillId="0" borderId="0" xfId="0" applyFont="1" applyAlignment="1">
      <alignment/>
    </xf>
    <xf numFmtId="171" fontId="9" fillId="0" borderId="65" xfId="0" applyNumberFormat="1" applyFont="1" applyBorder="1" applyAlignment="1">
      <alignment horizontal="center"/>
    </xf>
    <xf numFmtId="173" fontId="9" fillId="0" borderId="64" xfId="0" applyNumberFormat="1" applyFont="1" applyFill="1" applyBorder="1" applyAlignment="1">
      <alignment horizontal="center"/>
    </xf>
    <xf numFmtId="181" fontId="9" fillId="0" borderId="0" xfId="0" applyNumberFormat="1" applyFont="1" applyBorder="1" applyAlignment="1">
      <alignment horizontal="center"/>
    </xf>
    <xf numFmtId="171" fontId="9" fillId="0" borderId="64" xfId="0" applyNumberFormat="1" applyFont="1" applyBorder="1" applyAlignment="1">
      <alignment horizontal="center"/>
    </xf>
    <xf numFmtId="171" fontId="9" fillId="0" borderId="0" xfId="0" applyNumberFormat="1" applyFont="1" applyBorder="1" applyAlignment="1">
      <alignment horizontal="center"/>
    </xf>
    <xf numFmtId="181" fontId="9" fillId="8" borderId="65" xfId="0" applyNumberFormat="1" applyFont="1" applyFill="1" applyBorder="1" applyAlignment="1">
      <alignment horizontal="right"/>
    </xf>
    <xf numFmtId="171" fontId="9" fillId="8" borderId="0" xfId="0" applyNumberFormat="1" applyFont="1" applyFill="1" applyBorder="1" applyAlignment="1">
      <alignment horizontal="center"/>
    </xf>
    <xf numFmtId="164" fontId="6" fillId="5" borderId="66" xfId="0" applyNumberFormat="1" applyFont="1" applyFill="1" applyBorder="1" applyAlignment="1">
      <alignment horizontal="center"/>
    </xf>
    <xf numFmtId="171" fontId="9" fillId="8" borderId="64" xfId="0" applyNumberFormat="1" applyFont="1" applyFill="1" applyBorder="1" applyAlignment="1">
      <alignment horizontal="center"/>
    </xf>
    <xf numFmtId="173" fontId="9" fillId="0" borderId="64" xfId="0" applyNumberFormat="1" applyFont="1" applyBorder="1" applyAlignment="1">
      <alignment horizontal="center"/>
    </xf>
    <xf numFmtId="164" fontId="9" fillId="0" borderId="65" xfId="0" applyNumberFormat="1" applyFont="1" applyFill="1" applyBorder="1" applyAlignment="1">
      <alignment horizontal="center"/>
    </xf>
    <xf numFmtId="171" fontId="9" fillId="0" borderId="0" xfId="0" applyNumberFormat="1" applyFont="1" applyAlignment="1">
      <alignment horizontal="center"/>
    </xf>
    <xf numFmtId="164" fontId="9" fillId="0" borderId="0" xfId="0" applyFont="1" applyBorder="1" applyAlignment="1">
      <alignment horizontal="center"/>
    </xf>
    <xf numFmtId="164" fontId="9" fillId="0" borderId="65" xfId="0" applyFont="1" applyBorder="1" applyAlignment="1">
      <alignment horizontal="center"/>
    </xf>
    <xf numFmtId="181" fontId="9" fillId="8" borderId="65" xfId="0" applyNumberFormat="1" applyFont="1" applyFill="1" applyBorder="1" applyAlignment="1">
      <alignment horizontal="center"/>
    </xf>
    <xf numFmtId="177" fontId="9" fillId="0" borderId="0" xfId="0" applyNumberFormat="1" applyFont="1" applyAlignment="1">
      <alignment horizontal="center"/>
    </xf>
    <xf numFmtId="177" fontId="9" fillId="0" borderId="65" xfId="0" applyNumberFormat="1" applyFont="1" applyBorder="1" applyAlignment="1">
      <alignment horizontal="center"/>
    </xf>
    <xf numFmtId="181" fontId="9" fillId="0" borderId="64" xfId="0" applyNumberFormat="1" applyFont="1" applyBorder="1" applyAlignment="1">
      <alignment horizontal="center"/>
    </xf>
    <xf numFmtId="164" fontId="9" fillId="0" borderId="0" xfId="0" applyNumberFormat="1" applyFont="1" applyFill="1" applyBorder="1" applyAlignment="1">
      <alignment horizontal="center"/>
    </xf>
    <xf numFmtId="181" fontId="9" fillId="0" borderId="0" xfId="0" applyNumberFormat="1" applyFont="1" applyFill="1" applyBorder="1" applyAlignment="1">
      <alignment horizontal="center"/>
    </xf>
    <xf numFmtId="181" fontId="9" fillId="8" borderId="0" xfId="0" applyNumberFormat="1" applyFont="1" applyFill="1" applyBorder="1" applyAlignment="1">
      <alignment horizontal="center"/>
    </xf>
    <xf numFmtId="181" fontId="9" fillId="8" borderId="64" xfId="0" applyNumberFormat="1" applyFont="1" applyFill="1" applyBorder="1" applyAlignment="1">
      <alignment horizontal="center"/>
    </xf>
    <xf numFmtId="164" fontId="9" fillId="0" borderId="64" xfId="0" applyFont="1" applyBorder="1" applyAlignment="1">
      <alignment/>
    </xf>
    <xf numFmtId="177" fontId="9" fillId="0" borderId="65" xfId="0" applyNumberFormat="1" applyFont="1" applyBorder="1" applyAlignment="1">
      <alignment/>
    </xf>
    <xf numFmtId="177" fontId="9" fillId="0" borderId="64" xfId="0" applyNumberFormat="1" applyFont="1" applyBorder="1" applyAlignment="1">
      <alignment/>
    </xf>
    <xf numFmtId="164" fontId="9" fillId="0" borderId="0" xfId="0" applyFont="1" applyBorder="1" applyAlignment="1">
      <alignment/>
    </xf>
    <xf numFmtId="181" fontId="9" fillId="0" borderId="0" xfId="0" applyNumberFormat="1" applyFont="1" applyBorder="1" applyAlignment="1">
      <alignment/>
    </xf>
    <xf numFmtId="171" fontId="9" fillId="0" borderId="0" xfId="0" applyNumberFormat="1" applyFont="1" applyFill="1" applyBorder="1" applyAlignment="1">
      <alignment horizontal="center"/>
    </xf>
    <xf numFmtId="177" fontId="9" fillId="0" borderId="0" xfId="0" applyNumberFormat="1" applyFont="1" applyAlignment="1">
      <alignment/>
    </xf>
    <xf numFmtId="164" fontId="9" fillId="0" borderId="65" xfId="0" applyFont="1" applyBorder="1" applyAlignment="1">
      <alignment/>
    </xf>
    <xf numFmtId="164" fontId="9" fillId="0" borderId="0" xfId="0" applyFont="1" applyFill="1" applyBorder="1" applyAlignment="1">
      <alignment/>
    </xf>
    <xf numFmtId="181" fontId="3" fillId="0" borderId="0" xfId="0" applyNumberFormat="1" applyFont="1" applyBorder="1" applyAlignment="1">
      <alignment horizontal="center"/>
    </xf>
    <xf numFmtId="171" fontId="3" fillId="0" borderId="0" xfId="0" applyNumberFormat="1" applyFont="1" applyFill="1" applyBorder="1" applyAlignment="1">
      <alignment horizontal="center"/>
    </xf>
    <xf numFmtId="177" fontId="9" fillId="0" borderId="64" xfId="0" applyNumberFormat="1" applyFont="1" applyBorder="1" applyAlignment="1">
      <alignment horizontal="center"/>
    </xf>
    <xf numFmtId="164" fontId="6" fillId="5" borderId="2" xfId="0" applyFont="1" applyFill="1" applyBorder="1" applyAlignment="1">
      <alignment/>
    </xf>
    <xf numFmtId="171" fontId="6" fillId="5" borderId="67" xfId="0" applyNumberFormat="1" applyFont="1" applyFill="1" applyBorder="1" applyAlignment="1">
      <alignment horizontal="center"/>
    </xf>
    <xf numFmtId="181" fontId="6" fillId="5" borderId="68" xfId="0" applyNumberFormat="1" applyFont="1" applyFill="1" applyBorder="1" applyAlignment="1">
      <alignment horizontal="center"/>
    </xf>
    <xf numFmtId="171" fontId="6" fillId="5" borderId="67" xfId="0" applyNumberFormat="1" applyFont="1" applyFill="1" applyBorder="1" applyAlignment="1">
      <alignment/>
    </xf>
    <xf numFmtId="181" fontId="6" fillId="5" borderId="69" xfId="0" applyNumberFormat="1" applyFont="1" applyFill="1" applyBorder="1" applyAlignment="1">
      <alignment/>
    </xf>
    <xf numFmtId="171" fontId="6" fillId="5" borderId="68" xfId="0" applyNumberFormat="1" applyFont="1" applyFill="1" applyBorder="1" applyAlignment="1">
      <alignment horizontal="center"/>
    </xf>
    <xf numFmtId="177" fontId="6" fillId="5" borderId="70" xfId="0" applyNumberFormat="1" applyFont="1" applyFill="1" applyBorder="1" applyAlignment="1">
      <alignment/>
    </xf>
    <xf numFmtId="181" fontId="6" fillId="5" borderId="71" xfId="0" applyNumberFormat="1" applyFont="1" applyFill="1" applyBorder="1" applyAlignment="1">
      <alignment/>
    </xf>
    <xf numFmtId="171" fontId="6" fillId="5" borderId="72" xfId="0" applyNumberFormat="1" applyFont="1" applyFill="1" applyBorder="1" applyAlignment="1">
      <alignment/>
    </xf>
    <xf numFmtId="181" fontId="6" fillId="5" borderId="72" xfId="0" applyNumberFormat="1" applyFont="1" applyFill="1" applyBorder="1" applyAlignment="1">
      <alignment/>
    </xf>
    <xf numFmtId="171" fontId="6" fillId="5" borderId="72" xfId="0" applyNumberFormat="1" applyFont="1" applyFill="1" applyBorder="1" applyAlignment="1">
      <alignment horizontal="center"/>
    </xf>
    <xf numFmtId="181" fontId="6" fillId="5" borderId="70" xfId="0" applyNumberFormat="1" applyFont="1" applyFill="1" applyBorder="1" applyAlignment="1">
      <alignment/>
    </xf>
    <xf numFmtId="174" fontId="6" fillId="5" borderId="72" xfId="0" applyNumberFormat="1" applyFont="1" applyFill="1" applyBorder="1" applyAlignment="1">
      <alignment horizontal="center"/>
    </xf>
    <xf numFmtId="171" fontId="6" fillId="5" borderId="73" xfId="0" applyNumberFormat="1" applyFont="1" applyFill="1" applyBorder="1" applyAlignment="1">
      <alignment/>
    </xf>
    <xf numFmtId="181" fontId="6" fillId="5" borderId="72" xfId="0" applyNumberFormat="1" applyFont="1" applyFill="1" applyBorder="1" applyAlignment="1">
      <alignment horizontal="center"/>
    </xf>
    <xf numFmtId="174" fontId="6" fillId="5" borderId="71" xfId="0" applyNumberFormat="1" applyFont="1" applyFill="1" applyBorder="1" applyAlignment="1">
      <alignment horizontal="center"/>
    </xf>
    <xf numFmtId="171" fontId="6" fillId="5" borderId="70" xfId="0" applyNumberFormat="1" applyFont="1" applyFill="1" applyBorder="1" applyAlignment="1">
      <alignment/>
    </xf>
    <xf numFmtId="164" fontId="38" fillId="0" borderId="0" xfId="0" applyFont="1" applyAlignment="1">
      <alignment horizontal="right"/>
    </xf>
    <xf numFmtId="183" fontId="9" fillId="0" borderId="0" xfId="0" applyNumberFormat="1" applyFont="1" applyAlignment="1">
      <alignment horizontal="center"/>
    </xf>
    <xf numFmtId="164" fontId="9" fillId="0" borderId="0" xfId="0" applyFont="1" applyAlignment="1">
      <alignment horizontal="center"/>
    </xf>
    <xf numFmtId="171" fontId="9" fillId="0" borderId="0" xfId="0" applyNumberFormat="1" applyFont="1" applyAlignment="1">
      <alignment/>
    </xf>
    <xf numFmtId="174" fontId="9" fillId="0" borderId="0" xfId="0" applyNumberFormat="1" applyFont="1" applyAlignment="1">
      <alignment/>
    </xf>
    <xf numFmtId="164" fontId="39" fillId="0" borderId="0" xfId="0" applyFont="1" applyAlignment="1">
      <alignment/>
    </xf>
    <xf numFmtId="164" fontId="39" fillId="0" borderId="0" xfId="0" applyNumberFormat="1" applyFont="1" applyAlignment="1">
      <alignment horizontal="center"/>
    </xf>
    <xf numFmtId="164" fontId="6" fillId="0" borderId="0" xfId="0" applyFont="1" applyAlignment="1">
      <alignment horizontal="center"/>
    </xf>
    <xf numFmtId="175" fontId="40" fillId="0" borderId="0" xfId="0" applyNumberFormat="1" applyFont="1" applyAlignment="1">
      <alignment horizontal="center"/>
    </xf>
    <xf numFmtId="164" fontId="38" fillId="0" borderId="0" xfId="0" applyFont="1" applyAlignment="1">
      <alignment horizontal="center"/>
    </xf>
    <xf numFmtId="164" fontId="3" fillId="0" borderId="0" xfId="0" applyFont="1" applyAlignment="1" applyProtection="1">
      <alignment vertical="center" wrapText="1"/>
      <protection/>
    </xf>
    <xf numFmtId="164" fontId="5" fillId="0" borderId="0" xfId="0" applyFont="1" applyAlignment="1" applyProtection="1">
      <alignment horizontal="left" vertical="center"/>
      <protection/>
    </xf>
    <xf numFmtId="164" fontId="26" fillId="11" borderId="0" xfId="0" applyFont="1" applyFill="1" applyBorder="1" applyAlignment="1" applyProtection="1">
      <alignment vertical="center"/>
      <protection/>
    </xf>
    <xf numFmtId="164" fontId="41" fillId="0" borderId="0" xfId="0" applyFont="1" applyAlignment="1" applyProtection="1">
      <alignment vertical="center"/>
      <protection/>
    </xf>
    <xf numFmtId="164" fontId="26" fillId="0" borderId="0" xfId="0" applyNumberFormat="1" applyFont="1" applyFill="1" applyBorder="1" applyAlignment="1" applyProtection="1">
      <alignment horizontal="left" vertical="center"/>
      <protection/>
    </xf>
    <xf numFmtId="164" fontId="9" fillId="0" borderId="0" xfId="0" applyFont="1" applyAlignment="1" applyProtection="1">
      <alignment vertical="center"/>
      <protection/>
    </xf>
    <xf numFmtId="164" fontId="27" fillId="0" borderId="0" xfId="0" applyFont="1" applyFill="1" applyAlignment="1" applyProtection="1">
      <alignment vertical="center"/>
      <protection/>
    </xf>
    <xf numFmtId="164" fontId="26" fillId="0" borderId="0" xfId="0" applyFont="1" applyFill="1" applyAlignment="1" applyProtection="1">
      <alignment horizontal="left" vertical="center"/>
      <protection/>
    </xf>
    <xf numFmtId="164" fontId="22" fillId="0" borderId="0" xfId="0" applyFont="1" applyAlignment="1" applyProtection="1">
      <alignment vertical="center"/>
      <protection/>
    </xf>
    <xf numFmtId="164" fontId="9" fillId="0" borderId="0" xfId="0" applyFont="1" applyAlignment="1" applyProtection="1">
      <alignment vertical="top"/>
      <protection/>
    </xf>
    <xf numFmtId="164" fontId="0" fillId="0" borderId="0" xfId="0" applyFont="1" applyAlignment="1">
      <alignment vertical="center" wrapText="1"/>
    </xf>
    <xf numFmtId="164" fontId="0" fillId="0" borderId="0" xfId="0" applyFont="1" applyAlignment="1" applyProtection="1">
      <alignment vertical="center"/>
      <protection/>
    </xf>
    <xf numFmtId="167" fontId="5" fillId="0" borderId="0" xfId="0" applyNumberFormat="1" applyFont="1" applyAlignment="1" applyProtection="1">
      <alignment vertical="center"/>
      <protection/>
    </xf>
    <xf numFmtId="164" fontId="5" fillId="0" borderId="0" xfId="0" applyFont="1" applyAlignment="1" applyProtection="1">
      <alignment vertical="center"/>
      <protection/>
    </xf>
    <xf numFmtId="167" fontId="26" fillId="0" borderId="0" xfId="0" applyNumberFormat="1" applyFont="1" applyBorder="1" applyAlignment="1">
      <alignment horizontal="right" vertical="center"/>
    </xf>
    <xf numFmtId="164" fontId="27" fillId="0" borderId="0" xfId="0" applyNumberFormat="1" applyFont="1" applyAlignment="1">
      <alignment horizontal="left" vertical="center"/>
    </xf>
    <xf numFmtId="164" fontId="22" fillId="0" borderId="0" xfId="0" applyFont="1" applyFill="1" applyBorder="1" applyAlignment="1" applyProtection="1">
      <alignment vertical="center"/>
      <protection/>
    </xf>
    <xf numFmtId="164" fontId="9" fillId="0" borderId="0" xfId="0" applyFont="1" applyAlignment="1" applyProtection="1">
      <alignment horizontal="left" vertical="center"/>
      <protection/>
    </xf>
    <xf numFmtId="164" fontId="22" fillId="0" borderId="0" xfId="0" applyFont="1" applyAlignment="1">
      <alignment horizontal="left" vertical="center"/>
    </xf>
    <xf numFmtId="184" fontId="22" fillId="0" borderId="0" xfId="0" applyNumberFormat="1" applyFont="1" applyFill="1" applyBorder="1" applyAlignment="1" applyProtection="1">
      <alignment horizontal="center" vertical="center"/>
      <protection/>
    </xf>
    <xf numFmtId="164" fontId="22" fillId="0" borderId="0" xfId="0" applyFont="1" applyFill="1" applyBorder="1" applyAlignment="1" applyProtection="1">
      <alignment horizontal="center" vertical="center"/>
      <protection/>
    </xf>
    <xf numFmtId="164" fontId="26" fillId="0" borderId="0" xfId="0" applyNumberFormat="1" applyFont="1" applyBorder="1" applyAlignment="1" applyProtection="1">
      <alignment horizontal="left" vertical="center"/>
      <protection/>
    </xf>
    <xf numFmtId="164" fontId="26" fillId="0" borderId="0" xfId="0" applyFont="1" applyFill="1" applyAlignment="1" applyProtection="1">
      <alignment vertical="center"/>
      <protection/>
    </xf>
    <xf numFmtId="164" fontId="26" fillId="0" borderId="0" xfId="0" applyFont="1" applyAlignment="1" applyProtection="1">
      <alignment vertical="center"/>
      <protection/>
    </xf>
    <xf numFmtId="164" fontId="26" fillId="0" borderId="0" xfId="0" applyFont="1" applyAlignment="1">
      <alignment vertical="center"/>
    </xf>
    <xf numFmtId="164" fontId="26" fillId="0" borderId="0" xfId="0" applyFont="1" applyAlignment="1" applyProtection="1">
      <alignment horizontal="left" vertical="center"/>
      <protection/>
    </xf>
    <xf numFmtId="164" fontId="27" fillId="0" borderId="0" xfId="0" applyFont="1" applyFill="1" applyBorder="1" applyAlignment="1" applyProtection="1">
      <alignment vertical="center"/>
      <protection/>
    </xf>
    <xf numFmtId="168" fontId="27" fillId="0" borderId="0" xfId="0" applyNumberFormat="1" applyFont="1" applyFill="1" applyBorder="1" applyAlignment="1" applyProtection="1">
      <alignment vertical="center"/>
      <protection/>
    </xf>
    <xf numFmtId="164" fontId="26" fillId="0" borderId="0" xfId="0" applyFont="1" applyBorder="1" applyAlignment="1">
      <alignment vertical="center"/>
    </xf>
    <xf numFmtId="164" fontId="26" fillId="0" borderId="0" xfId="0" applyFont="1" applyFill="1" applyAlignment="1">
      <alignment vertical="center"/>
    </xf>
    <xf numFmtId="164" fontId="26" fillId="0" borderId="0" xfId="0" applyFont="1" applyFill="1" applyBorder="1" applyAlignment="1" applyProtection="1">
      <alignment vertical="center"/>
      <protection/>
    </xf>
    <xf numFmtId="164" fontId="26" fillId="0" borderId="0" xfId="0" applyFont="1" applyBorder="1" applyAlignment="1">
      <alignment horizontal="left" vertical="center"/>
    </xf>
    <xf numFmtId="164" fontId="26" fillId="0" borderId="0" xfId="0" applyFont="1" applyAlignment="1">
      <alignment horizontal="left" vertical="center"/>
    </xf>
    <xf numFmtId="185" fontId="22" fillId="0" borderId="0" xfId="0" applyNumberFormat="1" applyFont="1" applyBorder="1" applyAlignment="1">
      <alignment/>
    </xf>
    <xf numFmtId="181" fontId="22" fillId="0" borderId="0" xfId="0" applyNumberFormat="1" applyFont="1" applyFill="1" applyBorder="1" applyAlignment="1">
      <alignment horizontal="center" vertical="center"/>
    </xf>
    <xf numFmtId="164" fontId="22" fillId="0" borderId="0" xfId="0" applyNumberFormat="1" applyFont="1" applyBorder="1" applyAlignment="1">
      <alignment vertical="center"/>
    </xf>
    <xf numFmtId="164" fontId="0" fillId="0" borderId="0" xfId="0" applyAlignment="1">
      <alignment vertical="center"/>
    </xf>
    <xf numFmtId="174" fontId="22" fillId="0" borderId="0" xfId="0" applyNumberFormat="1" applyFont="1" applyFill="1" applyBorder="1" applyAlignment="1">
      <alignment horizontal="center" vertical="center"/>
    </xf>
    <xf numFmtId="164" fontId="26" fillId="0" borderId="0" xfId="0" applyFont="1" applyAlignment="1" applyProtection="1">
      <alignment horizontal="right" vertical="center"/>
      <protection/>
    </xf>
    <xf numFmtId="181" fontId="22" fillId="0" borderId="0" xfId="0" applyNumberFormat="1" applyFont="1" applyFill="1" applyAlignment="1">
      <alignment horizontal="center" vertical="center"/>
    </xf>
    <xf numFmtId="164" fontId="22" fillId="0" borderId="0" xfId="0" applyFont="1" applyFill="1" applyAlignment="1">
      <alignment horizontal="center" vertical="center"/>
    </xf>
    <xf numFmtId="164" fontId="0" fillId="0" borderId="0" xfId="0" applyFill="1" applyBorder="1" applyAlignment="1">
      <alignment horizontal="right" vertical="center"/>
    </xf>
    <xf numFmtId="181" fontId="0" fillId="0" borderId="0" xfId="0" applyNumberFormat="1" applyFont="1" applyFill="1" applyBorder="1" applyAlignment="1">
      <alignment horizontal="center" vertical="center"/>
    </xf>
    <xf numFmtId="164" fontId="43" fillId="0" borderId="0" xfId="0" applyFont="1" applyAlignment="1">
      <alignment vertical="center"/>
    </xf>
    <xf numFmtId="164" fontId="9" fillId="0" borderId="0" xfId="0" applyFont="1" applyAlignment="1">
      <alignment horizontal="right" vertical="center"/>
    </xf>
    <xf numFmtId="164" fontId="9" fillId="0" borderId="0" xfId="0" applyFont="1" applyBorder="1" applyAlignment="1" applyProtection="1">
      <alignment horizontal="left" vertical="center"/>
      <protection/>
    </xf>
    <xf numFmtId="164" fontId="6" fillId="0" borderId="4" xfId="0" applyFont="1" applyBorder="1" applyAlignment="1" applyProtection="1">
      <alignment horizontal="center" vertical="center"/>
      <protection/>
    </xf>
    <xf numFmtId="164" fontId="22" fillId="0" borderId="4" xfId="0" applyFont="1" applyFill="1" applyBorder="1" applyAlignment="1" applyProtection="1">
      <alignment horizontal="center" vertical="center"/>
      <protection/>
    </xf>
    <xf numFmtId="171" fontId="0" fillId="8" borderId="4" xfId="0" applyNumberFormat="1" applyFont="1" applyFill="1" applyBorder="1" applyAlignment="1" applyProtection="1">
      <alignment horizontal="center" vertical="center"/>
      <protection/>
    </xf>
    <xf numFmtId="181" fontId="0" fillId="8" borderId="4" xfId="0" applyNumberFormat="1" applyFont="1" applyFill="1" applyBorder="1" applyAlignment="1" applyProtection="1">
      <alignment horizontal="center" vertical="center"/>
      <protection/>
    </xf>
    <xf numFmtId="171" fontId="0" fillId="0" borderId="4" xfId="0" applyNumberFormat="1" applyFont="1" applyBorder="1" applyAlignment="1" applyProtection="1">
      <alignment horizontal="center" vertical="center"/>
      <protection/>
    </xf>
    <xf numFmtId="168" fontId="4" fillId="0" borderId="4" xfId="0" applyNumberFormat="1" applyFont="1" applyBorder="1" applyAlignment="1" applyProtection="1">
      <alignment horizontal="center" vertical="center"/>
      <protection/>
    </xf>
    <xf numFmtId="164" fontId="44" fillId="0" borderId="52" xfId="0" applyFont="1" applyBorder="1" applyAlignment="1">
      <alignment horizontal="left" wrapText="1" indent="1"/>
    </xf>
    <xf numFmtId="164" fontId="22" fillId="0" borderId="4" xfId="0" applyNumberFormat="1" applyFont="1" applyBorder="1" applyAlignment="1" applyProtection="1">
      <alignment horizontal="center" vertical="center"/>
      <protection/>
    </xf>
    <xf numFmtId="164" fontId="22" fillId="0" borderId="4" xfId="0" applyFont="1" applyBorder="1" applyAlignment="1" applyProtection="1">
      <alignment horizontal="center" vertical="center"/>
      <protection/>
    </xf>
    <xf numFmtId="171" fontId="0" fillId="8" borderId="4" xfId="0" applyNumberFormat="1" applyFont="1" applyFill="1" applyBorder="1" applyAlignment="1">
      <alignment horizontal="center" vertical="center"/>
    </xf>
    <xf numFmtId="175" fontId="0" fillId="0" borderId="4" xfId="0" applyNumberFormat="1" applyFont="1" applyBorder="1" applyAlignment="1">
      <alignment horizontal="center" vertical="center"/>
    </xf>
    <xf numFmtId="175" fontId="30" fillId="0" borderId="4" xfId="0" applyNumberFormat="1" applyFont="1" applyBorder="1" applyAlignment="1">
      <alignment horizontal="center" vertical="center"/>
    </xf>
    <xf numFmtId="164" fontId="6" fillId="0" borderId="0" xfId="0" applyFont="1" applyAlignment="1">
      <alignment horizontal="center" vertical="center"/>
    </xf>
    <xf numFmtId="164" fontId="11" fillId="0" borderId="0" xfId="0" applyFont="1" applyAlignment="1">
      <alignment vertical="center"/>
    </xf>
    <xf numFmtId="164" fontId="22" fillId="0" borderId="0" xfId="0" applyFont="1" applyBorder="1" applyAlignment="1">
      <alignment horizontal="left" vertical="center"/>
    </xf>
    <xf numFmtId="164" fontId="0" fillId="0" borderId="4" xfId="0" applyFont="1" applyBorder="1" applyAlignment="1" applyProtection="1">
      <alignment horizontal="left" vertical="center"/>
      <protection/>
    </xf>
    <xf numFmtId="171" fontId="0" fillId="0" borderId="0" xfId="0" applyNumberFormat="1" applyFont="1" applyBorder="1" applyAlignment="1" applyProtection="1">
      <alignment horizontal="center" vertical="center"/>
      <protection/>
    </xf>
    <xf numFmtId="164" fontId="0" fillId="0" borderId="0" xfId="0" applyFont="1" applyBorder="1" applyAlignment="1" applyProtection="1">
      <alignment horizontal="left" vertical="center"/>
      <protection/>
    </xf>
    <xf numFmtId="164" fontId="0" fillId="0" borderId="4" xfId="0" applyNumberFormat="1" applyFont="1" applyBorder="1" applyAlignment="1" applyProtection="1">
      <alignment horizontal="center" vertical="center"/>
      <protection/>
    </xf>
    <xf numFmtId="167" fontId="0" fillId="0" borderId="4" xfId="0" applyNumberFormat="1" applyFont="1" applyBorder="1" applyAlignment="1">
      <alignment horizontal="center" vertical="center"/>
    </xf>
    <xf numFmtId="171" fontId="0" fillId="0" borderId="4" xfId="0" applyNumberFormat="1" applyFont="1" applyBorder="1" applyAlignment="1">
      <alignment horizontal="center" vertical="center"/>
    </xf>
    <xf numFmtId="164" fontId="0" fillId="8" borderId="4" xfId="0" applyFont="1" applyFill="1" applyBorder="1" applyAlignment="1">
      <alignment vertical="center"/>
    </xf>
    <xf numFmtId="171" fontId="9" fillId="8" borderId="4" xfId="0" applyNumberFormat="1" applyFont="1" applyFill="1" applyBorder="1" applyAlignment="1" applyProtection="1">
      <alignment horizontal="center" vertical="center"/>
      <protection/>
    </xf>
    <xf numFmtId="164" fontId="0" fillId="0" borderId="0" xfId="0" applyNumberFormat="1" applyFont="1" applyBorder="1" applyAlignment="1" applyProtection="1">
      <alignment horizontal="left" vertical="top" wrapText="1"/>
      <protection locked="0"/>
    </xf>
    <xf numFmtId="164" fontId="8" fillId="0" borderId="0" xfId="0" applyFont="1" applyAlignment="1">
      <alignment horizontal="left" vertical="center"/>
    </xf>
    <xf numFmtId="164" fontId="27" fillId="0" borderId="0" xfId="0" applyFont="1" applyAlignment="1">
      <alignment horizontal="left" vertical="center"/>
    </xf>
    <xf numFmtId="164" fontId="45" fillId="0" borderId="0" xfId="0" applyFont="1" applyAlignment="1">
      <alignment horizontal="center" vertical="center"/>
    </xf>
    <xf numFmtId="164" fontId="22" fillId="0" borderId="4" xfId="0" applyFont="1" applyBorder="1" applyAlignment="1">
      <alignment horizontal="left" vertical="center"/>
    </xf>
    <xf numFmtId="164" fontId="22" fillId="0" borderId="4" xfId="0" applyFont="1" applyBorder="1" applyAlignment="1">
      <alignment horizontal="center" vertical="center"/>
    </xf>
    <xf numFmtId="164" fontId="0" fillId="0" borderId="0" xfId="0" applyFont="1" applyAlignment="1" applyProtection="1">
      <alignment vertical="center"/>
      <protection locked="0"/>
    </xf>
    <xf numFmtId="164" fontId="0" fillId="0" borderId="4" xfId="0" applyNumberFormat="1" applyFont="1" applyBorder="1" applyAlignment="1" applyProtection="1">
      <alignment horizontal="left" vertical="center"/>
      <protection locked="0"/>
    </xf>
    <xf numFmtId="171" fontId="0" fillId="0" borderId="4" xfId="0" applyNumberFormat="1" applyFont="1" applyBorder="1" applyAlignment="1" applyProtection="1">
      <alignment horizontal="center" vertical="center"/>
      <protection locked="0"/>
    </xf>
    <xf numFmtId="164" fontId="9" fillId="0" borderId="4" xfId="0" applyNumberFormat="1" applyFont="1" applyBorder="1" applyAlignment="1" applyProtection="1">
      <alignment horizontal="left" vertical="center"/>
      <protection/>
    </xf>
    <xf numFmtId="171" fontId="9" fillId="0" borderId="4" xfId="0" applyNumberFormat="1" applyFont="1" applyBorder="1" applyAlignment="1" applyProtection="1">
      <alignment horizontal="center" vertical="center"/>
      <protection/>
    </xf>
    <xf numFmtId="186" fontId="6" fillId="0" borderId="4" xfId="0" applyNumberFormat="1" applyFont="1" applyBorder="1" applyAlignment="1" applyProtection="1">
      <alignment horizontal="center" vertical="center"/>
      <protection/>
    </xf>
    <xf numFmtId="173" fontId="9" fillId="0" borderId="4" xfId="0" applyNumberFormat="1" applyFont="1" applyBorder="1" applyAlignment="1" applyProtection="1">
      <alignment horizontal="center" vertical="center"/>
      <protection/>
    </xf>
    <xf numFmtId="173" fontId="9" fillId="0" borderId="4" xfId="0" applyNumberFormat="1" applyFont="1" applyFill="1" applyBorder="1" applyAlignment="1" applyProtection="1">
      <alignment horizontal="center" vertical="center"/>
      <protection/>
    </xf>
    <xf numFmtId="164" fontId="0" fillId="8" borderId="4" xfId="0" applyFont="1" applyFill="1" applyBorder="1" applyAlignment="1" applyProtection="1">
      <alignment horizontal="left" vertical="center"/>
      <protection locked="0"/>
    </xf>
    <xf numFmtId="171" fontId="6" fillId="8" borderId="4" xfId="0" applyNumberFormat="1" applyFont="1" applyFill="1" applyBorder="1" applyAlignment="1" applyProtection="1">
      <alignment horizontal="center" vertical="center"/>
      <protection/>
    </xf>
    <xf numFmtId="186" fontId="6" fillId="8" borderId="4" xfId="0" applyNumberFormat="1" applyFont="1" applyFill="1" applyBorder="1" applyAlignment="1" applyProtection="1">
      <alignment horizontal="center" vertical="center"/>
      <protection/>
    </xf>
    <xf numFmtId="173" fontId="6" fillId="8" borderId="4" xfId="0" applyNumberFormat="1" applyFont="1" applyFill="1" applyBorder="1" applyAlignment="1" applyProtection="1">
      <alignment horizontal="center" vertical="center"/>
      <protection/>
    </xf>
    <xf numFmtId="164" fontId="22" fillId="0" borderId="0" xfId="0" applyNumberFormat="1" applyFont="1" applyAlignment="1" applyProtection="1">
      <alignment/>
      <protection locked="0"/>
    </xf>
    <xf numFmtId="164" fontId="0" fillId="0" borderId="0" xfId="0" applyNumberFormat="1" applyFont="1" applyBorder="1" applyAlignment="1" applyProtection="1">
      <alignment horizontal="left" vertical="center"/>
      <protection locked="0"/>
    </xf>
    <xf numFmtId="164" fontId="0" fillId="0" borderId="0" xfId="0" applyBorder="1" applyAlignment="1">
      <alignment horizontal="left" vertical="center"/>
    </xf>
    <xf numFmtId="164" fontId="0" fillId="0" borderId="0" xfId="0" applyFont="1" applyAlignment="1" applyProtection="1">
      <alignment horizontal="left" vertical="center"/>
      <protection locked="0"/>
    </xf>
    <xf numFmtId="164" fontId="0" fillId="0" borderId="0" xfId="0" applyAlignment="1">
      <alignment horizontal="left" vertical="center"/>
    </xf>
    <xf numFmtId="173" fontId="6" fillId="0" borderId="4" xfId="0" applyNumberFormat="1" applyFont="1" applyBorder="1" applyAlignment="1" applyProtection="1">
      <alignment horizontal="center" vertical="center"/>
      <protection/>
    </xf>
    <xf numFmtId="164" fontId="0" fillId="0" borderId="30" xfId="0" applyNumberFormat="1" applyFont="1" applyFill="1" applyBorder="1" applyAlignment="1" applyProtection="1">
      <alignment horizontal="left" vertical="center"/>
      <protection locked="0"/>
    </xf>
    <xf numFmtId="164" fontId="22" fillId="0" borderId="0" xfId="0" applyFont="1" applyAlignment="1" applyProtection="1">
      <alignment vertical="center"/>
      <protection locked="0"/>
    </xf>
    <xf numFmtId="164" fontId="0" fillId="0" borderId="0" xfId="0" applyFont="1" applyBorder="1" applyAlignment="1" applyProtection="1">
      <alignment horizontal="left" vertical="center"/>
      <protection locked="0"/>
    </xf>
    <xf numFmtId="164" fontId="0" fillId="0" borderId="30" xfId="0" applyNumberFormat="1" applyFont="1" applyBorder="1" applyAlignment="1" applyProtection="1">
      <alignment horizontal="left" vertical="center"/>
      <protection locked="0"/>
    </xf>
    <xf numFmtId="164" fontId="9" fillId="0" borderId="30" xfId="0" applyNumberFormat="1" applyFont="1" applyBorder="1" applyAlignment="1" applyProtection="1">
      <alignment horizontal="left" vertical="center"/>
      <protection/>
    </xf>
    <xf numFmtId="171" fontId="9" fillId="0" borderId="30" xfId="0" applyNumberFormat="1" applyFont="1" applyBorder="1" applyAlignment="1" applyProtection="1">
      <alignment horizontal="center" vertical="center"/>
      <protection/>
    </xf>
    <xf numFmtId="173" fontId="6" fillId="0" borderId="30" xfId="0" applyNumberFormat="1" applyFont="1" applyBorder="1" applyAlignment="1" applyProtection="1">
      <alignment horizontal="center" vertical="center"/>
      <protection/>
    </xf>
    <xf numFmtId="173" fontId="9" fillId="0" borderId="30" xfId="0" applyNumberFormat="1" applyFont="1" applyBorder="1" applyAlignment="1" applyProtection="1">
      <alignment horizontal="center" vertical="center"/>
      <protection/>
    </xf>
    <xf numFmtId="164" fontId="22" fillId="0" borderId="0" xfId="0" applyNumberFormat="1" applyFont="1" applyBorder="1" applyAlignment="1" applyProtection="1">
      <alignment horizontal="left"/>
      <protection locked="0"/>
    </xf>
    <xf numFmtId="177" fontId="9" fillId="0" borderId="4" xfId="0" applyNumberFormat="1" applyFont="1" applyBorder="1" applyAlignment="1" applyProtection="1">
      <alignment horizontal="center" vertical="center"/>
      <protection/>
    </xf>
    <xf numFmtId="164" fontId="0" fillId="0" borderId="4" xfId="0" applyFont="1" applyBorder="1" applyAlignment="1" applyProtection="1">
      <alignment horizontal="center" vertical="center"/>
      <protection locked="0"/>
    </xf>
    <xf numFmtId="168" fontId="9" fillId="0" borderId="4" xfId="0" applyNumberFormat="1" applyFont="1" applyBorder="1" applyAlignment="1" applyProtection="1">
      <alignment horizontal="center" vertical="center"/>
      <protection/>
    </xf>
    <xf numFmtId="177" fontId="9" fillId="0" borderId="30" xfId="0" applyNumberFormat="1" applyFont="1" applyBorder="1" applyAlignment="1" applyProtection="1">
      <alignment horizontal="center" vertical="center"/>
      <protection/>
    </xf>
    <xf numFmtId="171" fontId="0" fillId="0" borderId="30" xfId="0" applyNumberFormat="1" applyFont="1" applyBorder="1" applyAlignment="1" applyProtection="1">
      <alignment horizontal="center" vertical="center"/>
      <protection locked="0"/>
    </xf>
    <xf numFmtId="177" fontId="6" fillId="8" borderId="4" xfId="0" applyNumberFormat="1" applyFont="1" applyFill="1" applyBorder="1" applyAlignment="1" applyProtection="1">
      <alignment horizontal="center" vertical="center"/>
      <protection/>
    </xf>
    <xf numFmtId="171" fontId="22" fillId="8" borderId="4" xfId="0" applyNumberFormat="1" applyFont="1" applyFill="1" applyBorder="1" applyAlignment="1" applyProtection="1">
      <alignment horizontal="center" vertical="center"/>
      <protection locked="0"/>
    </xf>
    <xf numFmtId="164" fontId="22" fillId="0" borderId="4" xfId="0" applyFont="1" applyBorder="1" applyAlignment="1" applyProtection="1">
      <alignment horizontal="center" vertical="center" wrapText="1"/>
      <protection locked="0"/>
    </xf>
    <xf numFmtId="164" fontId="0" fillId="0" borderId="3" xfId="0" applyNumberFormat="1" applyFont="1" applyBorder="1" applyAlignment="1">
      <alignment horizontal="right" vertical="center"/>
    </xf>
    <xf numFmtId="164" fontId="0" fillId="0" borderId="3" xfId="0" applyFont="1" applyBorder="1" applyAlignment="1">
      <alignment horizontal="center" vertical="center"/>
    </xf>
    <xf numFmtId="164" fontId="0" fillId="0" borderId="4" xfId="0" applyFont="1" applyBorder="1" applyAlignment="1" applyProtection="1">
      <alignment vertical="center"/>
      <protection locked="0"/>
    </xf>
    <xf numFmtId="164" fontId="22" fillId="0" borderId="4" xfId="0" applyNumberFormat="1" applyFont="1" applyBorder="1" applyAlignment="1">
      <alignment horizontal="left" vertical="center" wrapText="1"/>
    </xf>
    <xf numFmtId="164" fontId="0" fillId="0" borderId="4" xfId="0" applyNumberFormat="1" applyFont="1" applyBorder="1" applyAlignment="1" applyProtection="1">
      <alignment vertical="center"/>
      <protection locked="0"/>
    </xf>
    <xf numFmtId="164" fontId="0" fillId="0" borderId="4" xfId="0" applyNumberFormat="1" applyBorder="1" applyAlignment="1">
      <alignment horizontal="left" vertical="center"/>
    </xf>
    <xf numFmtId="164" fontId="10" fillId="0" borderId="0" xfId="0" applyFont="1" applyAlignment="1" applyProtection="1">
      <alignment vertical="center"/>
      <protection locked="0"/>
    </xf>
    <xf numFmtId="171" fontId="0" fillId="0" borderId="4" xfId="0" applyNumberFormat="1" applyFont="1" applyBorder="1" applyAlignment="1" applyProtection="1">
      <alignment horizontal="left" vertical="center"/>
      <protection locked="0"/>
    </xf>
    <xf numFmtId="171" fontId="9" fillId="0" borderId="0" xfId="0" applyNumberFormat="1" applyFont="1" applyBorder="1" applyAlignment="1" applyProtection="1">
      <alignment horizontal="center" vertical="center"/>
      <protection/>
    </xf>
    <xf numFmtId="164" fontId="0" fillId="0" borderId="0" xfId="0" applyFont="1" applyBorder="1" applyAlignment="1">
      <alignment horizontal="right" vertical="center"/>
    </xf>
    <xf numFmtId="171" fontId="0" fillId="0" borderId="0" xfId="0" applyNumberFormat="1" applyFont="1" applyBorder="1" applyAlignment="1" applyProtection="1">
      <alignment horizontal="center" vertical="center"/>
      <protection locked="0"/>
    </xf>
    <xf numFmtId="173" fontId="6" fillId="0" borderId="0" xfId="0" applyNumberFormat="1" applyFont="1" applyBorder="1" applyAlignment="1" applyProtection="1">
      <alignment horizontal="center" vertical="center"/>
      <protection/>
    </xf>
    <xf numFmtId="173" fontId="22" fillId="0" borderId="0" xfId="0" applyNumberFormat="1" applyFont="1" applyBorder="1" applyAlignment="1">
      <alignment horizontal="center" vertical="center"/>
    </xf>
    <xf numFmtId="173" fontId="9" fillId="0" borderId="0" xfId="0" applyNumberFormat="1" applyFont="1" applyBorder="1" applyAlignment="1" applyProtection="1">
      <alignment horizontal="center" vertical="center"/>
      <protection/>
    </xf>
    <xf numFmtId="173" fontId="0" fillId="0" borderId="0" xfId="0" applyNumberFormat="1" applyBorder="1" applyAlignment="1">
      <alignment horizontal="center" vertical="center"/>
    </xf>
    <xf numFmtId="164" fontId="22" fillId="0" borderId="4" xfId="0" applyFont="1" applyBorder="1" applyAlignment="1" applyProtection="1">
      <alignment horizontal="center" vertical="center"/>
      <protection locked="0"/>
    </xf>
    <xf numFmtId="164" fontId="22" fillId="0" borderId="4" xfId="0" applyFont="1" applyBorder="1" applyAlignment="1">
      <alignment horizontal="left" vertical="center" wrapText="1"/>
    </xf>
    <xf numFmtId="164" fontId="0" fillId="0" borderId="4" xfId="0" applyNumberFormat="1" applyFont="1" applyBorder="1" applyAlignment="1" applyProtection="1">
      <alignment horizontal="center" vertical="center"/>
      <protection locked="0"/>
    </xf>
    <xf numFmtId="164" fontId="46" fillId="0" borderId="0" xfId="0" applyFont="1" applyBorder="1" applyAlignment="1" applyProtection="1">
      <alignment horizontal="left" vertical="center"/>
      <protection locked="0"/>
    </xf>
    <xf numFmtId="171" fontId="0" fillId="0" borderId="30" xfId="0" applyNumberFormat="1" applyFont="1" applyBorder="1" applyAlignment="1" applyProtection="1">
      <alignment horizontal="left" vertical="center"/>
      <protection locked="0"/>
    </xf>
    <xf numFmtId="187" fontId="0" fillId="0" borderId="4" xfId="0" applyNumberFormat="1" applyBorder="1" applyAlignment="1">
      <alignment horizontal="center" vertical="center"/>
    </xf>
    <xf numFmtId="173" fontId="0" fillId="0" borderId="4" xfId="0" applyNumberFormat="1" applyFont="1" applyBorder="1" applyAlignment="1" applyProtection="1">
      <alignment horizontal="center" vertical="center"/>
      <protection locked="0"/>
    </xf>
    <xf numFmtId="171" fontId="0" fillId="0" borderId="4" xfId="0" applyNumberFormat="1" applyBorder="1" applyAlignment="1">
      <alignment horizontal="center" vertical="center"/>
    </xf>
    <xf numFmtId="181" fontId="6" fillId="0" borderId="4" xfId="0" applyNumberFormat="1" applyFont="1" applyBorder="1" applyAlignment="1" applyProtection="1">
      <alignment horizontal="center" vertical="center"/>
      <protection/>
    </xf>
    <xf numFmtId="171" fontId="0" fillId="0" borderId="4" xfId="0" applyNumberFormat="1" applyFont="1" applyBorder="1" applyAlignment="1" applyProtection="1">
      <alignment horizontal="right" vertical="center"/>
      <protection locked="0"/>
    </xf>
    <xf numFmtId="168" fontId="9" fillId="0" borderId="9" xfId="0" applyNumberFormat="1" applyFont="1" applyBorder="1" applyAlignment="1" applyProtection="1">
      <alignment horizontal="right" vertical="center"/>
      <protection/>
    </xf>
    <xf numFmtId="168" fontId="6" fillId="0" borderId="4" xfId="0" applyNumberFormat="1" applyFont="1" applyBorder="1" applyAlignment="1" applyProtection="1">
      <alignment horizontal="center" vertical="center"/>
      <protection/>
    </xf>
    <xf numFmtId="168" fontId="9" fillId="0" borderId="0" xfId="0" applyNumberFormat="1" applyFont="1" applyBorder="1" applyAlignment="1" applyProtection="1">
      <alignment horizontal="right" vertical="center"/>
      <protection/>
    </xf>
    <xf numFmtId="168" fontId="9" fillId="0" borderId="2" xfId="0" applyNumberFormat="1" applyFont="1" applyBorder="1" applyAlignment="1" applyProtection="1">
      <alignment horizontal="left" vertical="center"/>
      <protection/>
    </xf>
    <xf numFmtId="164" fontId="0" fillId="0" borderId="3" xfId="0" applyNumberFormat="1" applyFont="1" applyBorder="1" applyAlignment="1" applyProtection="1">
      <alignment vertical="center"/>
      <protection locked="0"/>
    </xf>
    <xf numFmtId="168" fontId="9" fillId="0" borderId="15" xfId="0" applyNumberFormat="1" applyFont="1" applyBorder="1" applyAlignment="1" applyProtection="1">
      <alignment horizontal="center" vertical="center"/>
      <protection/>
    </xf>
    <xf numFmtId="173" fontId="9" fillId="0" borderId="15" xfId="0" applyNumberFormat="1" applyFont="1" applyBorder="1" applyAlignment="1" applyProtection="1">
      <alignment horizontal="center" vertical="center"/>
      <protection/>
    </xf>
    <xf numFmtId="164" fontId="0" fillId="0" borderId="9" xfId="0" applyFont="1" applyBorder="1" applyAlignment="1">
      <alignment horizontal="center" vertical="center"/>
    </xf>
    <xf numFmtId="171" fontId="0" fillId="0" borderId="2" xfId="0" applyNumberFormat="1" applyFont="1" applyBorder="1" applyAlignment="1" applyProtection="1">
      <alignment horizontal="left" vertical="center"/>
      <protection locked="0"/>
    </xf>
    <xf numFmtId="177" fontId="0" fillId="0" borderId="4" xfId="0" applyNumberFormat="1" applyBorder="1" applyAlignment="1">
      <alignment horizontal="center" vertical="center"/>
    </xf>
    <xf numFmtId="164" fontId="0" fillId="0" borderId="74" xfId="0" applyFont="1" applyFill="1" applyBorder="1" applyAlignment="1" applyProtection="1">
      <alignment horizontal="left" vertical="center"/>
      <protection locked="0"/>
    </xf>
    <xf numFmtId="164" fontId="0" fillId="0" borderId="75" xfId="0" applyFont="1" applyFill="1" applyBorder="1" applyAlignment="1" applyProtection="1">
      <alignment horizontal="left" vertical="center"/>
      <protection locked="0"/>
    </xf>
    <xf numFmtId="164" fontId="0" fillId="0" borderId="76" xfId="0" applyFont="1" applyFill="1" applyBorder="1" applyAlignment="1" applyProtection="1">
      <alignment horizontal="left" vertical="center"/>
      <protection locked="0"/>
    </xf>
    <xf numFmtId="164" fontId="22" fillId="0" borderId="2" xfId="0" applyFont="1" applyBorder="1" applyAlignment="1">
      <alignment horizontal="center" vertical="center"/>
    </xf>
    <xf numFmtId="164" fontId="0" fillId="0" borderId="53" xfId="0" applyFont="1" applyBorder="1" applyAlignment="1">
      <alignment horizontal="center" vertical="center"/>
    </xf>
    <xf numFmtId="173" fontId="6" fillId="0" borderId="2" xfId="0" applyNumberFormat="1" applyFont="1" applyBorder="1" applyAlignment="1" applyProtection="1">
      <alignment horizontal="center" vertical="center"/>
      <protection/>
    </xf>
    <xf numFmtId="171" fontId="0" fillId="0" borderId="2" xfId="0" applyNumberFormat="1" applyFont="1" applyBorder="1" applyAlignment="1" applyProtection="1">
      <alignment horizontal="right" vertical="center"/>
      <protection locked="0"/>
    </xf>
    <xf numFmtId="164" fontId="27" fillId="0" borderId="0" xfId="0" applyFont="1" applyAlignment="1">
      <alignment vertical="center"/>
    </xf>
    <xf numFmtId="164" fontId="47" fillId="0" borderId="0" xfId="0" applyFont="1" applyAlignment="1">
      <alignment vertical="center"/>
    </xf>
    <xf numFmtId="164" fontId="44" fillId="0" borderId="0" xfId="0" applyFont="1" applyBorder="1" applyAlignment="1">
      <alignment vertical="center"/>
    </xf>
    <xf numFmtId="164" fontId="48" fillId="0" borderId="0" xfId="0" applyFont="1" applyBorder="1" applyAlignment="1">
      <alignment horizontal="center" vertical="center"/>
    </xf>
    <xf numFmtId="164" fontId="48" fillId="12" borderId="4" xfId="0" applyFont="1" applyFill="1" applyBorder="1" applyAlignment="1">
      <alignment horizontal="center" vertical="center"/>
    </xf>
    <xf numFmtId="164" fontId="48" fillId="3" borderId="77" xfId="0" applyFont="1" applyFill="1" applyBorder="1" applyAlignment="1">
      <alignment horizontal="center" vertical="center"/>
    </xf>
    <xf numFmtId="164" fontId="48" fillId="11" borderId="78" xfId="0" applyFont="1" applyFill="1" applyBorder="1" applyAlignment="1">
      <alignment horizontal="center" vertical="center"/>
    </xf>
    <xf numFmtId="164" fontId="48" fillId="9" borderId="78" xfId="0" applyFont="1" applyFill="1" applyBorder="1" applyAlignment="1">
      <alignment horizontal="center" vertical="center"/>
    </xf>
    <xf numFmtId="164" fontId="48" fillId="13" borderId="78" xfId="0" applyFont="1" applyFill="1" applyBorder="1" applyAlignment="1">
      <alignment horizontal="center" vertical="center"/>
    </xf>
    <xf numFmtId="164" fontId="48" fillId="14" borderId="4" xfId="0" applyFont="1" applyFill="1" applyBorder="1" applyAlignment="1">
      <alignment horizontal="center" vertical="center"/>
    </xf>
    <xf numFmtId="164" fontId="48" fillId="15" borderId="7" xfId="0" applyFont="1" applyFill="1" applyBorder="1" applyAlignment="1">
      <alignment horizontal="center" vertical="center"/>
    </xf>
    <xf numFmtId="164" fontId="48" fillId="16" borderId="0" xfId="0" applyFont="1" applyFill="1" applyBorder="1" applyAlignment="1">
      <alignment horizontal="center" vertical="center"/>
    </xf>
    <xf numFmtId="164" fontId="26" fillId="2" borderId="1" xfId="22" applyNumberFormat="1" applyFont="1" applyAlignment="1" applyProtection="1">
      <alignment horizontal="center" vertical="center" wrapText="1"/>
      <protection/>
    </xf>
    <xf numFmtId="164" fontId="26" fillId="2" borderId="1" xfId="22" applyNumberFormat="1" applyFont="1" applyBorder="1" applyAlignment="1" applyProtection="1">
      <alignment horizontal="center" vertical="center" wrapText="1"/>
      <protection/>
    </xf>
    <xf numFmtId="188" fontId="26" fillId="2" borderId="1" xfId="22" applyNumberFormat="1" applyFont="1" applyAlignment="1" applyProtection="1">
      <alignment horizontal="center" vertical="center" wrapText="1"/>
      <protection/>
    </xf>
    <xf numFmtId="188" fontId="26" fillId="2" borderId="79" xfId="22" applyNumberFormat="1" applyFont="1" applyBorder="1" applyAlignment="1" applyProtection="1">
      <alignment horizontal="center" vertical="center" wrapText="1"/>
      <protection/>
    </xf>
    <xf numFmtId="188" fontId="26" fillId="2" borderId="1" xfId="22" applyNumberFormat="1" applyFont="1" applyBorder="1" applyAlignment="1" applyProtection="1">
      <alignment horizontal="center" vertical="center" wrapText="1"/>
      <protection/>
    </xf>
    <xf numFmtId="188" fontId="15" fillId="2" borderId="1" xfId="22" applyNumberFormat="1" applyFont="1" applyAlignment="1" applyProtection="1">
      <alignment horizontal="center" vertical="center" wrapText="1"/>
      <protection/>
    </xf>
    <xf numFmtId="188" fontId="3" fillId="2" borderId="1" xfId="22" applyNumberFormat="1" applyFont="1" applyAlignment="1" applyProtection="1">
      <alignment horizontal="center" vertical="center" wrapText="1"/>
      <protection/>
    </xf>
    <xf numFmtId="188" fontId="0" fillId="2" borderId="1" xfId="22" applyNumberFormat="1" applyFont="1" applyAlignment="1" applyProtection="1">
      <alignment horizontal="center" vertical="center" wrapText="1"/>
      <protection/>
    </xf>
    <xf numFmtId="164" fontId="49" fillId="3" borderId="7" xfId="23" applyNumberFormat="1" applyFont="1" applyBorder="1" applyAlignment="1" applyProtection="1">
      <alignment horizontal="center" vertical="center"/>
      <protection/>
    </xf>
    <xf numFmtId="188" fontId="49" fillId="3" borderId="7" xfId="23" applyNumberFormat="1" applyFont="1" applyBorder="1" applyAlignment="1" applyProtection="1">
      <alignment horizontal="center" vertical="center"/>
      <protection/>
    </xf>
    <xf numFmtId="188" fontId="50" fillId="3" borderId="7" xfId="23" applyNumberFormat="1" applyFont="1" applyBorder="1" applyAlignment="1" applyProtection="1">
      <alignment horizontal="center" vertical="center"/>
      <protection/>
    </xf>
    <xf numFmtId="164" fontId="49" fillId="0" borderId="7" xfId="23" applyNumberFormat="1" applyFill="1" applyBorder="1" applyAlignment="1" applyProtection="1">
      <alignment/>
      <protection/>
    </xf>
    <xf numFmtId="164" fontId="51" fillId="0" borderId="7" xfId="23" applyNumberFormat="1" applyFont="1" applyFill="1" applyBorder="1" applyAlignment="1" applyProtection="1">
      <alignment wrapText="1"/>
      <protection/>
    </xf>
    <xf numFmtId="164" fontId="15" fillId="0" borderId="7" xfId="0" applyFont="1" applyBorder="1" applyAlignment="1">
      <alignment wrapText="1"/>
    </xf>
    <xf numFmtId="164" fontId="0" fillId="0" borderId="7" xfId="0" applyBorder="1" applyAlignment="1">
      <alignment/>
    </xf>
    <xf numFmtId="164" fontId="3" fillId="0" borderId="7" xfId="0" applyFont="1" applyBorder="1" applyAlignment="1">
      <alignment wrapText="1"/>
    </xf>
    <xf numFmtId="164" fontId="14" fillId="0" borderId="7" xfId="0" applyFont="1" applyBorder="1" applyAlignment="1">
      <alignment wrapText="1"/>
    </xf>
    <xf numFmtId="171"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89" fontId="0" fillId="0" borderId="0" xfId="0" applyNumberFormat="1" applyFont="1" applyFill="1" applyBorder="1" applyAlignment="1">
      <alignment horizontal="center" vertical="center"/>
    </xf>
    <xf numFmtId="168" fontId="0" fillId="0" borderId="0" xfId="0" applyNumberFormat="1" applyFont="1" applyFill="1" applyBorder="1" applyAlignment="1">
      <alignment horizontal="center" vertical="center"/>
    </xf>
    <xf numFmtId="164" fontId="0" fillId="0" borderId="0" xfId="0" applyNumberFormat="1" applyFont="1" applyFill="1" applyBorder="1" applyAlignment="1">
      <alignment/>
    </xf>
    <xf numFmtId="164" fontId="0" fillId="0" borderId="0" xfId="0" applyNumberFormat="1" applyFill="1" applyAlignment="1">
      <alignment/>
    </xf>
    <xf numFmtId="164" fontId="17" fillId="0" borderId="0" xfId="0" applyFont="1" applyAlignment="1">
      <alignment/>
    </xf>
    <xf numFmtId="168" fontId="3" fillId="8" borderId="4" xfId="0" applyNumberFormat="1" applyFont="1" applyFill="1" applyBorder="1" applyAlignment="1">
      <alignment horizontal="center" vertical="center"/>
    </xf>
    <xf numFmtId="178" fontId="3" fillId="8" borderId="4" xfId="0" applyNumberFormat="1" applyFont="1" applyFill="1" applyBorder="1" applyAlignment="1">
      <alignment horizontal="center" vertical="center"/>
    </xf>
    <xf numFmtId="164" fontId="3" fillId="0" borderId="0" xfId="0" applyFont="1" applyBorder="1" applyAlignment="1">
      <alignment horizontal="right"/>
    </xf>
    <xf numFmtId="164" fontId="3" fillId="0" borderId="0" xfId="0" applyFont="1" applyFill="1" applyBorder="1" applyAlignment="1">
      <alignment horizontal="center"/>
    </xf>
    <xf numFmtId="164" fontId="8" fillId="0" borderId="80" xfId="0" applyFont="1" applyFill="1" applyBorder="1" applyAlignment="1">
      <alignment horizontal="left" vertical="center"/>
    </xf>
    <xf numFmtId="168" fontId="3" fillId="0" borderId="0" xfId="0" applyNumberFormat="1" applyFont="1" applyBorder="1" applyAlignment="1">
      <alignment horizontal="center"/>
    </xf>
    <xf numFmtId="168" fontId="3" fillId="8" borderId="4" xfId="0" applyNumberFormat="1" applyFont="1" applyFill="1" applyBorder="1" applyAlignment="1">
      <alignment horizontal="center"/>
    </xf>
    <xf numFmtId="164" fontId="3" fillId="0" borderId="80" xfId="0" applyFont="1" applyFill="1" applyBorder="1" applyAlignment="1">
      <alignment horizontal="left" vertical="center"/>
    </xf>
    <xf numFmtId="168" fontId="3" fillId="0" borderId="81" xfId="0" applyNumberFormat="1" applyFont="1" applyFill="1" applyBorder="1" applyAlignment="1">
      <alignment horizontal="right" vertical="center"/>
    </xf>
    <xf numFmtId="164" fontId="8" fillId="0" borderId="5" xfId="0" applyFont="1" applyFill="1" applyBorder="1" applyAlignment="1">
      <alignment horizontal="left" vertical="center"/>
    </xf>
    <xf numFmtId="168" fontId="3" fillId="0" borderId="0" xfId="0" applyNumberFormat="1" applyFont="1" applyFill="1" applyBorder="1" applyAlignment="1">
      <alignment horizontal="right" vertical="center"/>
    </xf>
    <xf numFmtId="164" fontId="10" fillId="0" borderId="0" xfId="0" applyFont="1" applyBorder="1" applyAlignment="1">
      <alignment/>
    </xf>
    <xf numFmtId="164" fontId="8" fillId="0" borderId="0" xfId="0" applyFont="1" applyBorder="1" applyAlignment="1">
      <alignment horizontal="right"/>
    </xf>
    <xf numFmtId="164" fontId="3" fillId="8" borderId="4" xfId="0" applyFont="1" applyFill="1" applyBorder="1" applyAlignment="1">
      <alignment horizontal="center"/>
    </xf>
    <xf numFmtId="164" fontId="3" fillId="0" borderId="5" xfId="0" applyFont="1" applyFill="1" applyBorder="1" applyAlignment="1">
      <alignment horizontal="left" vertical="center"/>
    </xf>
    <xf numFmtId="164" fontId="3" fillId="0" borderId="80" xfId="0" applyFont="1" applyFill="1" applyBorder="1" applyAlignment="1">
      <alignment horizontal="right" vertical="center"/>
    </xf>
    <xf numFmtId="164" fontId="3" fillId="0" borderId="82" xfId="0" applyFont="1" applyFill="1" applyBorder="1" applyAlignment="1">
      <alignment horizontal="left" vertical="center"/>
    </xf>
    <xf numFmtId="168" fontId="8" fillId="0" borderId="83" xfId="0" applyNumberFormat="1" applyFont="1" applyFill="1" applyBorder="1" applyAlignment="1">
      <alignment horizontal="center" vertical="center"/>
    </xf>
    <xf numFmtId="164" fontId="0" fillId="0" borderId="0" xfId="0" applyFill="1" applyAlignment="1">
      <alignment/>
    </xf>
    <xf numFmtId="164" fontId="7" fillId="0" borderId="0" xfId="0" applyFont="1" applyFill="1" applyAlignment="1">
      <alignment/>
    </xf>
    <xf numFmtId="164" fontId="3" fillId="0" borderId="0" xfId="0" applyFont="1" applyBorder="1" applyAlignment="1">
      <alignment wrapText="1"/>
    </xf>
    <xf numFmtId="164" fontId="4" fillId="0" borderId="0" xfId="0" applyFont="1" applyAlignment="1" applyProtection="1">
      <alignment/>
      <protection/>
    </xf>
    <xf numFmtId="164" fontId="7" fillId="0" borderId="0" xfId="0" applyFont="1" applyAlignment="1" applyProtection="1">
      <alignment/>
      <protection/>
    </xf>
    <xf numFmtId="164" fontId="0" fillId="0" borderId="0" xfId="0" applyAlignment="1" applyProtection="1">
      <alignment/>
      <protection/>
    </xf>
    <xf numFmtId="164" fontId="7" fillId="0" borderId="0" xfId="0" applyFont="1" applyBorder="1" applyAlignment="1">
      <alignment/>
    </xf>
    <xf numFmtId="164" fontId="0" fillId="8" borderId="4" xfId="0" applyFont="1" applyFill="1" applyBorder="1" applyAlignment="1">
      <alignment horizontal="center"/>
    </xf>
    <xf numFmtId="164" fontId="3" fillId="8" borderId="4" xfId="0" applyFont="1" applyFill="1" applyBorder="1" applyAlignment="1" applyProtection="1">
      <alignment horizontal="center"/>
      <protection/>
    </xf>
    <xf numFmtId="164" fontId="3" fillId="0" borderId="0" xfId="0" applyFont="1" applyAlignment="1" applyProtection="1">
      <alignment/>
      <protection/>
    </xf>
    <xf numFmtId="164" fontId="3" fillId="0" borderId="0" xfId="0" applyFont="1" applyFill="1" applyBorder="1" applyAlignment="1">
      <alignment horizontal="right"/>
    </xf>
    <xf numFmtId="164" fontId="0" fillId="0" borderId="0" xfId="0" applyFont="1" applyAlignment="1">
      <alignment/>
    </xf>
    <xf numFmtId="164" fontId="46" fillId="0" borderId="0" xfId="0" applyFont="1" applyAlignment="1">
      <alignment/>
    </xf>
    <xf numFmtId="164" fontId="22" fillId="0" borderId="0" xfId="0" applyFont="1" applyAlignment="1">
      <alignment/>
    </xf>
    <xf numFmtId="164" fontId="0" fillId="0" borderId="2" xfId="0" applyBorder="1" applyAlignment="1">
      <alignment/>
    </xf>
    <xf numFmtId="164" fontId="0" fillId="0" borderId="3" xfId="0" applyBorder="1" applyAlignment="1">
      <alignment/>
    </xf>
    <xf numFmtId="164" fontId="0" fillId="0" borderId="15" xfId="0" applyBorder="1" applyAlignment="1">
      <alignment/>
    </xf>
    <xf numFmtId="164" fontId="0" fillId="0" borderId="4" xfId="0" applyFill="1" applyBorder="1" applyAlignment="1">
      <alignment/>
    </xf>
    <xf numFmtId="164" fontId="5" fillId="0" borderId="0" xfId="0" applyFont="1" applyBorder="1" applyAlignment="1">
      <alignment/>
    </xf>
    <xf numFmtId="164" fontId="3" fillId="7" borderId="4" xfId="0" applyFont="1" applyFill="1" applyBorder="1" applyAlignment="1">
      <alignment vertical="center"/>
    </xf>
    <xf numFmtId="164" fontId="3" fillId="7" borderId="4" xfId="0" applyFont="1" applyFill="1" applyBorder="1" applyAlignment="1">
      <alignment horizontal="center" vertical="center"/>
    </xf>
    <xf numFmtId="164" fontId="3" fillId="7" borderId="3" xfId="0" applyFont="1" applyFill="1" applyBorder="1" applyAlignment="1">
      <alignment horizontal="center" vertical="center"/>
    </xf>
    <xf numFmtId="164" fontId="0" fillId="6" borderId="0" xfId="0" applyFont="1" applyFill="1" applyBorder="1" applyAlignment="1">
      <alignment vertical="center"/>
    </xf>
    <xf numFmtId="164" fontId="3" fillId="6" borderId="0" xfId="0" applyFont="1" applyFill="1" applyBorder="1" applyAlignment="1">
      <alignment vertical="center"/>
    </xf>
    <xf numFmtId="164" fontId="0" fillId="6" borderId="0" xfId="0" applyFont="1" applyFill="1" applyBorder="1" applyAlignment="1" applyProtection="1">
      <alignment vertical="center"/>
      <protection/>
    </xf>
    <xf numFmtId="164" fontId="3" fillId="8" borderId="31" xfId="0" applyFont="1" applyFill="1" applyBorder="1" applyAlignment="1">
      <alignment vertical="center"/>
    </xf>
    <xf numFmtId="164" fontId="3" fillId="8" borderId="84" xfId="0" applyFont="1" applyFill="1" applyBorder="1" applyAlignment="1">
      <alignment horizontal="center" vertical="center"/>
    </xf>
    <xf numFmtId="164" fontId="3" fillId="8" borderId="20" xfId="0" applyFont="1" applyFill="1" applyBorder="1" applyAlignment="1">
      <alignment horizontal="center" vertical="center"/>
    </xf>
    <xf numFmtId="164" fontId="3" fillId="8" borderId="4" xfId="0" applyFont="1" applyFill="1" applyBorder="1" applyAlignment="1">
      <alignment horizontal="right" vertical="center"/>
    </xf>
    <xf numFmtId="164" fontId="3" fillId="7" borderId="0" xfId="0" applyFont="1" applyFill="1" applyBorder="1" applyAlignment="1">
      <alignment vertical="center"/>
    </xf>
    <xf numFmtId="164" fontId="3" fillId="7" borderId="0" xfId="0" applyFont="1" applyFill="1" applyBorder="1" applyAlignment="1">
      <alignment horizontal="left" vertical="center"/>
    </xf>
    <xf numFmtId="164" fontId="3" fillId="7" borderId="0" xfId="0" applyFont="1" applyFill="1" applyBorder="1" applyAlignment="1">
      <alignment horizontal="center" vertical="center"/>
    </xf>
    <xf numFmtId="164" fontId="0" fillId="7" borderId="0" xfId="0" applyFont="1" applyFill="1" applyBorder="1" applyAlignment="1">
      <alignment vertical="center"/>
    </xf>
    <xf numFmtId="164" fontId="3" fillId="0" borderId="85" xfId="0" applyFont="1" applyFill="1" applyBorder="1" applyAlignment="1">
      <alignment vertical="center"/>
    </xf>
    <xf numFmtId="164" fontId="3" fillId="8" borderId="7" xfId="0" applyFont="1" applyFill="1" applyBorder="1" applyAlignment="1">
      <alignment horizontal="center" vertical="center"/>
    </xf>
    <xf numFmtId="164" fontId="3" fillId="0" borderId="7" xfId="0" applyFont="1" applyFill="1" applyBorder="1" applyAlignment="1">
      <alignment horizontal="center" vertical="center"/>
    </xf>
    <xf numFmtId="164" fontId="3" fillId="0" borderId="5" xfId="0" applyFont="1" applyFill="1" applyBorder="1" applyAlignment="1">
      <alignment horizontal="center" vertical="center"/>
    </xf>
    <xf numFmtId="164" fontId="3" fillId="0" borderId="86" xfId="0" applyNumberFormat="1" applyFont="1" applyFill="1" applyBorder="1" applyAlignment="1">
      <alignment vertical="center"/>
    </xf>
    <xf numFmtId="171" fontId="15" fillId="0" borderId="87" xfId="0" applyNumberFormat="1" applyFont="1" applyFill="1" applyBorder="1" applyAlignment="1">
      <alignment horizontal="center" vertical="center"/>
    </xf>
    <xf numFmtId="164" fontId="3" fillId="0" borderId="87" xfId="0" applyNumberFormat="1" applyFont="1" applyFill="1" applyBorder="1" applyAlignment="1">
      <alignment horizontal="center" vertical="center"/>
    </xf>
    <xf numFmtId="171" fontId="3" fillId="0" borderId="38" xfId="0" applyNumberFormat="1" applyFont="1" applyFill="1" applyBorder="1" applyAlignment="1">
      <alignment horizontal="center" vertical="center"/>
    </xf>
    <xf numFmtId="164" fontId="3" fillId="0" borderId="81" xfId="0" applyNumberFormat="1" applyFont="1" applyFill="1" applyBorder="1" applyAlignment="1">
      <alignment horizontal="center" vertical="center"/>
    </xf>
    <xf numFmtId="164" fontId="3" fillId="0" borderId="52" xfId="0" applyNumberFormat="1" applyFont="1" applyBorder="1" applyAlignment="1">
      <alignment vertical="center"/>
    </xf>
    <xf numFmtId="164" fontId="3" fillId="0" borderId="38" xfId="0" applyNumberFormat="1" applyFont="1" applyFill="1" applyBorder="1" applyAlignment="1">
      <alignment horizontal="center" vertical="center"/>
    </xf>
    <xf numFmtId="164" fontId="3" fillId="0" borderId="88" xfId="0" applyNumberFormat="1" applyFont="1" applyFill="1" applyBorder="1" applyAlignment="1">
      <alignment horizontal="center" vertical="center"/>
    </xf>
    <xf numFmtId="164" fontId="3" fillId="0" borderId="89" xfId="0" applyFont="1" applyFill="1" applyBorder="1" applyAlignment="1">
      <alignment horizontal="right" vertical="center"/>
    </xf>
    <xf numFmtId="171" fontId="3" fillId="0" borderId="7" xfId="0" applyNumberFormat="1" applyFont="1" applyFill="1" applyBorder="1" applyAlignment="1">
      <alignment horizontal="center" vertical="center"/>
    </xf>
    <xf numFmtId="164" fontId="3" fillId="0" borderId="84" xfId="0" applyNumberFormat="1" applyFont="1" applyFill="1" applyBorder="1" applyAlignment="1">
      <alignment horizontal="center" vertical="center"/>
    </xf>
    <xf numFmtId="164" fontId="0" fillId="0" borderId="52" xfId="0" applyFont="1" applyBorder="1" applyAlignment="1">
      <alignment vertical="center"/>
    </xf>
    <xf numFmtId="164" fontId="3" fillId="0" borderId="90" xfId="0" applyFont="1" applyFill="1" applyBorder="1" applyAlignment="1">
      <alignment horizontal="center" vertical="center"/>
    </xf>
    <xf numFmtId="164" fontId="3" fillId="0" borderId="91" xfId="0" applyFont="1" applyFill="1" applyBorder="1" applyAlignment="1">
      <alignment vertical="center"/>
    </xf>
    <xf numFmtId="164" fontId="3" fillId="8" borderId="92" xfId="0" applyFont="1" applyFill="1" applyBorder="1" applyAlignment="1">
      <alignment horizontal="center" vertical="center"/>
    </xf>
    <xf numFmtId="164" fontId="3" fillId="0" borderId="92" xfId="0" applyFont="1" applyFill="1" applyBorder="1" applyAlignment="1">
      <alignment horizontal="center" vertical="center"/>
    </xf>
    <xf numFmtId="164" fontId="3" fillId="0" borderId="93" xfId="0" applyFont="1" applyFill="1" applyBorder="1" applyAlignment="1">
      <alignment horizontal="center" vertical="center"/>
    </xf>
    <xf numFmtId="164" fontId="3" fillId="0" borderId="94" xfId="0" applyFont="1" applyFill="1" applyBorder="1" applyAlignment="1">
      <alignment horizontal="center" vertical="center"/>
    </xf>
    <xf numFmtId="164" fontId="3" fillId="0" borderId="53" xfId="0" applyFont="1" applyFill="1" applyBorder="1" applyAlignment="1">
      <alignment horizontal="right" vertical="center"/>
    </xf>
    <xf numFmtId="164" fontId="3" fillId="0" borderId="31" xfId="0" applyNumberFormat="1" applyFont="1" applyFill="1" applyBorder="1" applyAlignment="1">
      <alignment vertical="center"/>
    </xf>
    <xf numFmtId="171" fontId="15" fillId="0" borderId="84" xfId="0" applyNumberFormat="1" applyFont="1" applyFill="1" applyBorder="1" applyAlignment="1">
      <alignment horizontal="center" vertical="center"/>
    </xf>
    <xf numFmtId="171" fontId="3" fillId="0" borderId="19"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64" fontId="3" fillId="0" borderId="39" xfId="0" applyNumberFormat="1" applyFont="1" applyBorder="1" applyAlignment="1">
      <alignment vertical="center"/>
    </xf>
    <xf numFmtId="164" fontId="3" fillId="0" borderId="19" xfId="0" applyFont="1" applyFill="1" applyBorder="1" applyAlignment="1">
      <alignment horizontal="center" vertical="center"/>
    </xf>
    <xf numFmtId="164" fontId="3" fillId="0" borderId="95" xfId="0" applyNumberFormat="1" applyFont="1" applyFill="1" applyBorder="1" applyAlignment="1">
      <alignment horizontal="center" vertical="center"/>
    </xf>
    <xf numFmtId="164" fontId="3" fillId="0" borderId="96" xfId="0" applyFont="1" applyFill="1" applyBorder="1" applyAlignment="1">
      <alignment horizontal="right" vertical="center"/>
    </xf>
    <xf numFmtId="164" fontId="3" fillId="0" borderId="40" xfId="0" applyFont="1" applyFill="1" applyBorder="1" applyAlignment="1">
      <alignment horizontal="right" vertical="center"/>
    </xf>
    <xf numFmtId="164" fontId="3" fillId="4" borderId="31" xfId="0" applyFont="1" applyFill="1" applyBorder="1" applyAlignment="1">
      <alignment horizontal="right" vertical="center"/>
    </xf>
    <xf numFmtId="164" fontId="0" fillId="0" borderId="53" xfId="0" applyFont="1" applyBorder="1" applyAlignment="1">
      <alignment vertical="center"/>
    </xf>
    <xf numFmtId="164" fontId="3" fillId="0" borderId="31" xfId="0" applyNumberFormat="1" applyFont="1" applyFill="1" applyBorder="1" applyAlignment="1">
      <alignment horizontal="right" vertical="center"/>
    </xf>
    <xf numFmtId="171" fontId="3" fillId="0" borderId="92" xfId="0" applyNumberFormat="1" applyFont="1" applyFill="1" applyBorder="1" applyAlignment="1">
      <alignment horizontal="center" vertical="center"/>
    </xf>
    <xf numFmtId="164" fontId="24" fillId="0" borderId="0" xfId="0" applyFont="1" applyFill="1" applyAlignment="1">
      <alignment/>
    </xf>
    <xf numFmtId="164" fontId="5" fillId="0" borderId="2" xfId="0" applyFont="1" applyFill="1" applyBorder="1" applyAlignment="1">
      <alignment horizontal="right" vertical="center"/>
    </xf>
    <xf numFmtId="164" fontId="5" fillId="0" borderId="15" xfId="0" applyFont="1" applyBorder="1" applyAlignment="1">
      <alignment horizontal="center" vertical="center"/>
    </xf>
    <xf numFmtId="164" fontId="3" fillId="8" borderId="40" xfId="0" applyFont="1" applyFill="1" applyBorder="1" applyAlignment="1">
      <alignment horizontal="right" vertical="center"/>
    </xf>
    <xf numFmtId="164" fontId="3" fillId="8" borderId="97" xfId="0" applyFont="1" applyFill="1" applyBorder="1" applyAlignment="1" applyProtection="1">
      <alignment horizontal="center" vertical="center"/>
      <protection/>
    </xf>
    <xf numFmtId="164" fontId="0" fillId="0" borderId="0" xfId="0" applyFont="1" applyFill="1" applyBorder="1" applyAlignment="1">
      <alignment horizontal="center" vertical="center"/>
    </xf>
    <xf numFmtId="164" fontId="3" fillId="8" borderId="89" xfId="0" applyFont="1" applyFill="1" applyBorder="1" applyAlignment="1">
      <alignment horizontal="right" vertical="center"/>
    </xf>
    <xf numFmtId="164" fontId="3" fillId="8" borderId="98" xfId="0" applyFont="1" applyFill="1" applyBorder="1" applyAlignment="1" applyProtection="1">
      <alignment horizontal="center" vertical="center"/>
      <protection/>
    </xf>
    <xf numFmtId="164" fontId="3" fillId="8" borderId="53" xfId="0" applyFont="1" applyFill="1" applyBorder="1" applyAlignment="1">
      <alignment horizontal="right" vertical="center"/>
    </xf>
    <xf numFmtId="164" fontId="3" fillId="8" borderId="14" xfId="0" applyFont="1" applyFill="1" applyBorder="1" applyAlignment="1" applyProtection="1">
      <alignment horizontal="center" vertical="center"/>
      <protection/>
    </xf>
    <xf numFmtId="164" fontId="5" fillId="0" borderId="0" xfId="0" applyFont="1" applyAlignment="1">
      <alignment horizontal="center"/>
    </xf>
    <xf numFmtId="164" fontId="3" fillId="0" borderId="0" xfId="0" applyFont="1" applyAlignment="1">
      <alignment horizontal="center"/>
    </xf>
    <xf numFmtId="169" fontId="3" fillId="0" borderId="39" xfId="0" applyNumberFormat="1" applyFont="1" applyBorder="1" applyAlignment="1">
      <alignment/>
    </xf>
    <xf numFmtId="164" fontId="3" fillId="8" borderId="39" xfId="0" applyFont="1" applyFill="1" applyBorder="1" applyAlignment="1">
      <alignment horizontal="center"/>
    </xf>
    <xf numFmtId="171" fontId="3" fillId="8" borderId="12" xfId="0" applyNumberFormat="1" applyFont="1" applyFill="1" applyBorder="1" applyAlignment="1">
      <alignment horizontal="center"/>
    </xf>
    <xf numFmtId="171" fontId="3" fillId="8" borderId="39" xfId="0" applyNumberFormat="1" applyFont="1" applyFill="1" applyBorder="1" applyAlignment="1">
      <alignment horizontal="center"/>
    </xf>
    <xf numFmtId="171" fontId="3" fillId="8" borderId="10" xfId="0" applyNumberFormat="1" applyFont="1" applyFill="1" applyBorder="1" applyAlignment="1">
      <alignment horizontal="center"/>
    </xf>
    <xf numFmtId="164" fontId="3" fillId="8" borderId="12" xfId="0" applyFont="1" applyFill="1" applyBorder="1" applyAlignment="1">
      <alignment/>
    </xf>
    <xf numFmtId="169" fontId="3" fillId="0" borderId="62" xfId="0" applyNumberFormat="1" applyFont="1" applyBorder="1" applyAlignment="1">
      <alignment horizontal="left"/>
    </xf>
    <xf numFmtId="164" fontId="3" fillId="0" borderId="99" xfId="0" applyFont="1" applyFill="1" applyBorder="1" applyAlignment="1">
      <alignment horizontal="center"/>
    </xf>
    <xf numFmtId="171" fontId="3" fillId="0" borderId="99" xfId="0" applyNumberFormat="1" applyFont="1" applyFill="1" applyBorder="1" applyAlignment="1">
      <alignment horizontal="center"/>
    </xf>
    <xf numFmtId="164" fontId="3" fillId="0" borderId="100" xfId="0" applyNumberFormat="1" applyFont="1" applyBorder="1" applyAlignment="1">
      <alignment horizontal="center"/>
    </xf>
    <xf numFmtId="164" fontId="3" fillId="0" borderId="63" xfId="0" applyNumberFormat="1" applyFont="1" applyBorder="1" applyAlignment="1">
      <alignment/>
    </xf>
    <xf numFmtId="171" fontId="3" fillId="0" borderId="57" xfId="0" applyNumberFormat="1" applyFont="1" applyFill="1" applyBorder="1" applyAlignment="1">
      <alignment horizontal="center"/>
    </xf>
    <xf numFmtId="164" fontId="3" fillId="0" borderId="99" xfId="0" applyNumberFormat="1" applyFont="1" applyBorder="1" applyAlignment="1">
      <alignment horizontal="center"/>
    </xf>
    <xf numFmtId="171" fontId="3" fillId="0" borderId="101" xfId="0" applyNumberFormat="1" applyFont="1" applyFill="1" applyBorder="1" applyAlignment="1">
      <alignment horizontal="center"/>
    </xf>
    <xf numFmtId="164" fontId="3" fillId="0" borderId="0" xfId="0" applyFont="1" applyBorder="1" applyAlignment="1">
      <alignment/>
    </xf>
    <xf numFmtId="164" fontId="3" fillId="0" borderId="52" xfId="0" applyFont="1" applyBorder="1" applyAlignment="1">
      <alignment/>
    </xf>
    <xf numFmtId="164" fontId="3" fillId="8" borderId="52" xfId="0" applyFont="1" applyFill="1" applyBorder="1" applyAlignment="1">
      <alignment horizontal="center"/>
    </xf>
    <xf numFmtId="171" fontId="3" fillId="8" borderId="13" xfId="0" applyNumberFormat="1" applyFont="1" applyFill="1" applyBorder="1" applyAlignment="1">
      <alignment horizontal="center"/>
    </xf>
    <xf numFmtId="171" fontId="3" fillId="8" borderId="52" xfId="0" applyNumberFormat="1" applyFont="1" applyFill="1" applyBorder="1" applyAlignment="1">
      <alignment horizontal="center"/>
    </xf>
    <xf numFmtId="171" fontId="3" fillId="8" borderId="0" xfId="0" applyNumberFormat="1" applyFont="1" applyFill="1" applyBorder="1" applyAlignment="1">
      <alignment horizontal="center"/>
    </xf>
    <xf numFmtId="164" fontId="3" fillId="8" borderId="13" xfId="0" applyFont="1" applyFill="1" applyBorder="1" applyAlignment="1">
      <alignment/>
    </xf>
    <xf numFmtId="164" fontId="3" fillId="0" borderId="61" xfId="0" applyFont="1" applyFill="1" applyBorder="1" applyAlignment="1">
      <alignment horizontal="left"/>
    </xf>
    <xf numFmtId="171" fontId="3" fillId="0" borderId="4" xfId="0" applyNumberFormat="1" applyFont="1" applyFill="1" applyBorder="1" applyAlignment="1">
      <alignment horizontal="center"/>
    </xf>
    <xf numFmtId="164" fontId="3" fillId="0" borderId="2" xfId="0" applyFont="1" applyBorder="1" applyAlignment="1">
      <alignment/>
    </xf>
    <xf numFmtId="164" fontId="3" fillId="0" borderId="2" xfId="0" applyNumberFormat="1" applyFont="1" applyBorder="1" applyAlignment="1">
      <alignment/>
    </xf>
    <xf numFmtId="164" fontId="3" fillId="0" borderId="3" xfId="0" applyFont="1" applyBorder="1" applyAlignment="1">
      <alignment horizontal="center"/>
    </xf>
    <xf numFmtId="164" fontId="3" fillId="0" borderId="4" xfId="0" applyNumberFormat="1" applyFont="1" applyBorder="1" applyAlignment="1">
      <alignment horizontal="center"/>
    </xf>
    <xf numFmtId="164" fontId="3" fillId="0" borderId="45" xfId="0" applyFont="1" applyBorder="1" applyAlignment="1">
      <alignment horizontal="center"/>
    </xf>
    <xf numFmtId="190" fontId="3" fillId="0" borderId="52" xfId="0" applyNumberFormat="1" applyFont="1" applyBorder="1" applyAlignment="1">
      <alignment/>
    </xf>
    <xf numFmtId="164" fontId="3" fillId="0" borderId="61" xfId="0" applyFont="1" applyBorder="1" applyAlignment="1">
      <alignment horizontal="left"/>
    </xf>
    <xf numFmtId="164" fontId="3" fillId="0" borderId="53" xfId="0" applyFont="1" applyBorder="1" applyAlignment="1">
      <alignment/>
    </xf>
    <xf numFmtId="164" fontId="3" fillId="8" borderId="53" xfId="0" applyFont="1" applyFill="1" applyBorder="1" applyAlignment="1">
      <alignment horizontal="center"/>
    </xf>
    <xf numFmtId="171" fontId="3" fillId="8" borderId="14" xfId="0" applyNumberFormat="1" applyFont="1" applyFill="1" applyBorder="1" applyAlignment="1">
      <alignment horizontal="center"/>
    </xf>
    <xf numFmtId="171" fontId="3" fillId="8" borderId="53" xfId="0" applyNumberFormat="1" applyFont="1" applyFill="1" applyBorder="1" applyAlignment="1">
      <alignment horizontal="center"/>
    </xf>
    <xf numFmtId="171" fontId="3" fillId="8" borderId="11" xfId="0" applyNumberFormat="1" applyFont="1" applyFill="1" applyBorder="1" applyAlignment="1">
      <alignment horizontal="center"/>
    </xf>
    <xf numFmtId="164" fontId="3" fillId="8" borderId="14" xfId="0" applyFont="1" applyFill="1" applyBorder="1" applyAlignment="1">
      <alignment/>
    </xf>
    <xf numFmtId="164" fontId="3" fillId="0" borderId="102" xfId="0" applyFont="1" applyBorder="1" applyAlignment="1">
      <alignment horizontal="left"/>
    </xf>
    <xf numFmtId="171" fontId="3" fillId="0" borderId="103" xfId="0" applyNumberFormat="1" applyFont="1" applyFill="1" applyBorder="1" applyAlignment="1">
      <alignment horizontal="center"/>
    </xf>
    <xf numFmtId="164" fontId="3" fillId="0" borderId="104" xfId="0" applyFont="1" applyBorder="1" applyAlignment="1">
      <alignment/>
    </xf>
    <xf numFmtId="164" fontId="3" fillId="0" borderId="104" xfId="0" applyNumberFormat="1" applyFont="1" applyBorder="1" applyAlignment="1">
      <alignment/>
    </xf>
    <xf numFmtId="164" fontId="3" fillId="0" borderId="69" xfId="0" applyFont="1" applyBorder="1" applyAlignment="1">
      <alignment horizontal="center"/>
    </xf>
    <xf numFmtId="164" fontId="3" fillId="0" borderId="103" xfId="0" applyNumberFormat="1" applyFont="1" applyBorder="1" applyAlignment="1">
      <alignment horizontal="center"/>
    </xf>
    <xf numFmtId="164" fontId="3" fillId="0" borderId="105" xfId="0" applyFont="1" applyBorder="1" applyAlignment="1">
      <alignment horizontal="center"/>
    </xf>
    <xf numFmtId="164" fontId="3" fillId="0" borderId="62" xfId="0" applyFont="1" applyBorder="1" applyAlignment="1">
      <alignment horizontal="left"/>
    </xf>
    <xf numFmtId="164" fontId="3" fillId="0" borderId="0" xfId="0" applyFont="1" applyFill="1" applyBorder="1" applyAlignment="1">
      <alignment/>
    </xf>
    <xf numFmtId="171" fontId="3" fillId="0" borderId="4" xfId="0" applyNumberFormat="1" applyFont="1" applyBorder="1" applyAlignment="1">
      <alignment horizontal="center"/>
    </xf>
    <xf numFmtId="164" fontId="3" fillId="0" borderId="10" xfId="0" applyFont="1" applyBorder="1" applyAlignment="1">
      <alignment horizontal="center"/>
    </xf>
    <xf numFmtId="164" fontId="3" fillId="0" borderId="10" xfId="0" applyFont="1" applyBorder="1" applyAlignment="1">
      <alignment/>
    </xf>
    <xf numFmtId="171" fontId="3" fillId="0" borderId="10" xfId="0" applyNumberFormat="1" applyFont="1" applyBorder="1" applyAlignment="1">
      <alignment horizontal="center"/>
    </xf>
    <xf numFmtId="164" fontId="3" fillId="0" borderId="12" xfId="0" applyFont="1" applyBorder="1" applyAlignment="1">
      <alignment/>
    </xf>
    <xf numFmtId="171" fontId="3" fillId="0" borderId="103" xfId="0" applyNumberFormat="1" applyFont="1" applyBorder="1" applyAlignment="1">
      <alignment horizontal="center"/>
    </xf>
    <xf numFmtId="169" fontId="3" fillId="0" borderId="52" xfId="0" applyNumberFormat="1" applyFont="1" applyBorder="1" applyAlignment="1">
      <alignment/>
    </xf>
    <xf numFmtId="171" fontId="3" fillId="0" borderId="0" xfId="0" applyNumberFormat="1" applyFont="1" applyBorder="1" applyAlignment="1">
      <alignment horizontal="center"/>
    </xf>
    <xf numFmtId="164" fontId="3" fillId="0" borderId="13" xfId="0" applyFont="1" applyBorder="1" applyAlignment="1">
      <alignment/>
    </xf>
    <xf numFmtId="190" fontId="3" fillId="0" borderId="106" xfId="0" applyNumberFormat="1" applyFont="1" applyBorder="1" applyAlignment="1">
      <alignment horizontal="left"/>
    </xf>
    <xf numFmtId="164" fontId="3" fillId="0" borderId="9" xfId="0" applyFont="1" applyBorder="1" applyAlignment="1">
      <alignment horizontal="center"/>
    </xf>
    <xf numFmtId="171" fontId="3" fillId="0" borderId="9" xfId="0" applyNumberFormat="1" applyFont="1" applyFill="1" applyBorder="1" applyAlignment="1">
      <alignment horizontal="center"/>
    </xf>
    <xf numFmtId="171" fontId="3" fillId="0" borderId="11" xfId="0" applyNumberFormat="1" applyFont="1" applyFill="1" applyBorder="1" applyAlignment="1">
      <alignment horizontal="center"/>
    </xf>
    <xf numFmtId="171" fontId="3" fillId="0" borderId="107" xfId="0" applyNumberFormat="1" applyFont="1" applyFill="1" applyBorder="1" applyAlignment="1">
      <alignment horizontal="center"/>
    </xf>
    <xf numFmtId="169" fontId="3" fillId="0" borderId="53" xfId="0" applyNumberFormat="1" applyFont="1" applyBorder="1" applyAlignment="1">
      <alignment/>
    </xf>
    <xf numFmtId="164" fontId="3" fillId="0" borderId="11" xfId="0" applyFont="1" applyBorder="1" applyAlignment="1">
      <alignment/>
    </xf>
    <xf numFmtId="171" fontId="3" fillId="0" borderId="11" xfId="0" applyNumberFormat="1" applyFont="1" applyBorder="1" applyAlignment="1">
      <alignment horizontal="center"/>
    </xf>
    <xf numFmtId="164" fontId="3" fillId="0" borderId="14" xfId="0" applyFont="1" applyBorder="1" applyAlignment="1">
      <alignment/>
    </xf>
    <xf numFmtId="164" fontId="3" fillId="0" borderId="108" xfId="0" applyFont="1" applyBorder="1" applyAlignment="1">
      <alignment horizontal="left"/>
    </xf>
    <xf numFmtId="171" fontId="3" fillId="0" borderId="30" xfId="0" applyNumberFormat="1" applyFont="1" applyBorder="1" applyAlignment="1">
      <alignment horizontal="center"/>
    </xf>
    <xf numFmtId="164" fontId="3" fillId="0" borderId="39" xfId="0" applyFont="1" applyBorder="1" applyAlignment="1">
      <alignment/>
    </xf>
    <xf numFmtId="164" fontId="3" fillId="0" borderId="39" xfId="0" applyNumberFormat="1" applyFont="1" applyBorder="1" applyAlignment="1">
      <alignment/>
    </xf>
    <xf numFmtId="171" fontId="3" fillId="0" borderId="30" xfId="0" applyNumberFormat="1" applyFont="1" applyFill="1" applyBorder="1" applyAlignment="1">
      <alignment horizontal="center"/>
    </xf>
    <xf numFmtId="164" fontId="3" fillId="0" borderId="30" xfId="0" applyNumberFormat="1" applyFont="1" applyBorder="1" applyAlignment="1">
      <alignment horizontal="center"/>
    </xf>
    <xf numFmtId="164" fontId="3" fillId="0" borderId="109" xfId="0" applyFont="1" applyBorder="1" applyAlignment="1">
      <alignment horizontal="center"/>
    </xf>
    <xf numFmtId="171" fontId="3" fillId="0" borderId="99" xfId="0" applyNumberFormat="1" applyFont="1" applyBorder="1" applyAlignment="1">
      <alignment horizontal="center"/>
    </xf>
    <xf numFmtId="164" fontId="3" fillId="0" borderId="57" xfId="0" applyNumberFormat="1" applyFont="1" applyBorder="1" applyAlignment="1">
      <alignment horizontal="center"/>
    </xf>
    <xf numFmtId="164" fontId="3" fillId="0" borderId="0" xfId="0" applyFont="1" applyFill="1" applyBorder="1" applyAlignment="1">
      <alignment/>
    </xf>
    <xf numFmtId="164" fontId="3" fillId="0" borderId="0" xfId="0" applyFont="1" applyFill="1" applyAlignment="1">
      <alignment/>
    </xf>
    <xf numFmtId="171" fontId="3" fillId="5" borderId="4" xfId="0" applyNumberFormat="1" applyFont="1" applyFill="1" applyBorder="1" applyAlignment="1">
      <alignment horizontal="center"/>
    </xf>
    <xf numFmtId="164" fontId="5" fillId="0" borderId="0" xfId="0" applyFont="1" applyAlignment="1">
      <alignment horizontal="left" vertical="center"/>
    </xf>
    <xf numFmtId="173" fontId="5" fillId="0" borderId="0" xfId="0" applyNumberFormat="1" applyFont="1" applyAlignment="1">
      <alignment horizontal="center" vertical="center"/>
    </xf>
    <xf numFmtId="164" fontId="11" fillId="0" borderId="0" xfId="0" applyFont="1" applyAlignment="1">
      <alignment horizontal="left" vertical="center"/>
    </xf>
    <xf numFmtId="164" fontId="5" fillId="10" borderId="0" xfId="0" applyFont="1" applyFill="1" applyBorder="1" applyAlignment="1">
      <alignment horizontal="left" vertical="center"/>
    </xf>
    <xf numFmtId="164" fontId="19" fillId="0" borderId="0" xfId="0" applyFont="1" applyAlignment="1">
      <alignment horizontal="left" vertical="center"/>
    </xf>
    <xf numFmtId="164" fontId="5" fillId="17" borderId="0" xfId="0" applyFont="1" applyFill="1" applyAlignment="1">
      <alignment horizontal="left" vertical="center"/>
    </xf>
    <xf numFmtId="173" fontId="5" fillId="17" borderId="0" xfId="0" applyNumberFormat="1" applyFont="1" applyFill="1" applyAlignment="1">
      <alignment horizontal="center" vertical="center"/>
    </xf>
    <xf numFmtId="164" fontId="5" fillId="18" borderId="0" xfId="0" applyFont="1" applyFill="1" applyAlignment="1">
      <alignment horizontal="left" vertical="center"/>
    </xf>
    <xf numFmtId="173" fontId="5" fillId="18" borderId="0" xfId="0" applyNumberFormat="1" applyFont="1" applyFill="1" applyAlignment="1">
      <alignment horizontal="center" vertical="center"/>
    </xf>
    <xf numFmtId="164" fontId="5" fillId="0" borderId="0" xfId="0" applyFont="1" applyFill="1" applyAlignment="1">
      <alignment horizontal="left" vertical="center"/>
    </xf>
    <xf numFmtId="164" fontId="5" fillId="0" borderId="0" xfId="0" applyFont="1" applyFill="1" applyBorder="1" applyAlignment="1">
      <alignment horizontal="center" vertical="center" wrapText="1"/>
    </xf>
    <xf numFmtId="164" fontId="11" fillId="0" borderId="0" xfId="0" applyFont="1" applyAlignment="1">
      <alignment horizontal="center" vertical="center"/>
    </xf>
    <xf numFmtId="164" fontId="5" fillId="19" borderId="0" xfId="0" applyFont="1" applyFill="1" applyAlignment="1">
      <alignment horizontal="left" vertical="center"/>
    </xf>
    <xf numFmtId="173" fontId="5" fillId="13" borderId="0" xfId="0" applyNumberFormat="1" applyFont="1" applyFill="1" applyBorder="1" applyAlignment="1" applyProtection="1">
      <alignment horizontal="center" vertical="center"/>
      <protection locked="0"/>
    </xf>
    <xf numFmtId="164" fontId="5" fillId="20" borderId="0" xfId="0" applyFont="1" applyFill="1" applyAlignment="1">
      <alignment horizontal="left" vertical="center"/>
    </xf>
    <xf numFmtId="173" fontId="5" fillId="20" borderId="0" xfId="0" applyNumberFormat="1" applyFont="1" applyFill="1" applyAlignment="1">
      <alignment horizontal="center" vertical="center"/>
    </xf>
    <xf numFmtId="164" fontId="5" fillId="21" borderId="0" xfId="0" applyFont="1" applyFill="1" applyBorder="1" applyAlignment="1">
      <alignment horizontal="left" vertical="center"/>
    </xf>
    <xf numFmtId="173" fontId="11" fillId="13" borderId="0" xfId="0" applyNumberFormat="1" applyFont="1" applyFill="1" applyBorder="1" applyAlignment="1" applyProtection="1">
      <alignment horizontal="center" vertical="center"/>
      <protection locked="0"/>
    </xf>
    <xf numFmtId="164" fontId="11" fillId="0" borderId="0" xfId="0" applyFont="1" applyFill="1" applyAlignment="1">
      <alignment horizontal="left" vertical="center"/>
    </xf>
    <xf numFmtId="173" fontId="11" fillId="0" borderId="0" xfId="0" applyNumberFormat="1" applyFont="1" applyFill="1" applyBorder="1" applyAlignment="1" applyProtection="1">
      <alignment horizontal="center" vertical="center"/>
      <protection locked="0"/>
    </xf>
    <xf numFmtId="173" fontId="5" fillId="0" borderId="0" xfId="0" applyNumberFormat="1" applyFont="1" applyFill="1" applyAlignment="1">
      <alignment horizontal="center" vertical="center"/>
    </xf>
    <xf numFmtId="164" fontId="5" fillId="22" borderId="0" xfId="0" applyFont="1" applyFill="1" applyAlignment="1">
      <alignment horizontal="left" vertical="center"/>
    </xf>
    <xf numFmtId="173" fontId="5" fillId="22" borderId="0" xfId="0" applyNumberFormat="1" applyFont="1" applyFill="1" applyAlignment="1">
      <alignment horizontal="center" vertical="center"/>
    </xf>
    <xf numFmtId="164" fontId="5" fillId="0" borderId="0" xfId="0" applyFont="1" applyFill="1" applyAlignment="1">
      <alignment vertical="center"/>
    </xf>
    <xf numFmtId="164" fontId="5" fillId="19" borderId="0" xfId="0" applyFont="1" applyFill="1" applyBorder="1" applyAlignment="1">
      <alignment vertical="center"/>
    </xf>
    <xf numFmtId="182" fontId="8" fillId="0" borderId="0" xfId="0" applyNumberFormat="1" applyFont="1" applyAlignment="1">
      <alignment vertical="center"/>
    </xf>
    <xf numFmtId="164" fontId="5" fillId="21" borderId="0" xfId="0" applyFont="1" applyFill="1" applyAlignment="1">
      <alignment horizontal="left" vertical="center"/>
    </xf>
    <xf numFmtId="173" fontId="5" fillId="21" borderId="0" xfId="0" applyNumberFormat="1" applyFont="1" applyFill="1" applyAlignment="1">
      <alignment horizontal="center" vertical="center"/>
    </xf>
    <xf numFmtId="164" fontId="5" fillId="19" borderId="0" xfId="0" applyFont="1" applyFill="1" applyAlignment="1">
      <alignment horizontal="left" vertical="center" wrapText="1" shrinkToFit="1"/>
    </xf>
    <xf numFmtId="164" fontId="5" fillId="13" borderId="0" xfId="0" applyFont="1" applyFill="1" applyBorder="1" applyAlignment="1" applyProtection="1">
      <alignment horizontal="center" vertical="center"/>
      <protection locked="0"/>
    </xf>
    <xf numFmtId="164" fontId="53" fillId="13" borderId="0" xfId="0" applyFont="1" applyFill="1" applyBorder="1" applyAlignment="1" applyProtection="1">
      <alignment horizontal="center" vertical="center"/>
      <protection locked="0"/>
    </xf>
    <xf numFmtId="164" fontId="5" fillId="0" borderId="0" xfId="0" applyFont="1" applyBorder="1" applyAlignment="1">
      <alignment horizontal="left" vertical="center"/>
    </xf>
    <xf numFmtId="164" fontId="5" fillId="21" borderId="0" xfId="0" applyFont="1" applyFill="1" applyAlignment="1">
      <alignment horizontal="left" vertical="center" wrapText="1"/>
    </xf>
    <xf numFmtId="164" fontId="3" fillId="21" borderId="0" xfId="0" applyFont="1" applyFill="1" applyAlignment="1">
      <alignment horizontal="left" vertical="center"/>
    </xf>
    <xf numFmtId="164" fontId="3" fillId="0" borderId="0" xfId="0" applyFont="1" applyAlignment="1">
      <alignment horizontal="center"/>
    </xf>
    <xf numFmtId="164" fontId="54" fillId="0" borderId="0" xfId="0" applyFont="1" applyAlignment="1">
      <alignment/>
    </xf>
    <xf numFmtId="164" fontId="3" fillId="0" borderId="0" xfId="0" applyFont="1" applyBorder="1" applyAlignment="1">
      <alignment horizontal="left" wrapText="1"/>
    </xf>
    <xf numFmtId="164" fontId="0" fillId="5" borderId="59" xfId="0" applyFont="1" applyFill="1" applyBorder="1" applyAlignment="1">
      <alignment horizontal="left" wrapText="1"/>
    </xf>
    <xf numFmtId="164" fontId="0" fillId="5" borderId="66" xfId="0" applyFont="1" applyFill="1" applyBorder="1" applyAlignment="1">
      <alignment horizontal="left" wrapText="1"/>
    </xf>
    <xf numFmtId="164" fontId="0" fillId="5" borderId="73" xfId="0" applyFont="1" applyFill="1" applyBorder="1" applyAlignment="1">
      <alignment horizontal="left" wrapText="1"/>
    </xf>
    <xf numFmtId="164" fontId="55" fillId="0" borderId="0" xfId="0" applyFont="1" applyAlignment="1">
      <alignment horizontal="left" indent="3"/>
    </xf>
    <xf numFmtId="164" fontId="3" fillId="4" borderId="4" xfId="0" applyFont="1" applyFill="1" applyBorder="1" applyAlignment="1" applyProtection="1">
      <alignment vertical="center"/>
      <protection/>
    </xf>
    <xf numFmtId="164" fontId="0" fillId="5" borderId="4" xfId="0" applyFont="1" applyFill="1" applyBorder="1" applyAlignment="1">
      <alignment vertical="center"/>
    </xf>
    <xf numFmtId="164" fontId="0" fillId="9" borderId="4" xfId="0" applyFont="1" applyFill="1" applyBorder="1" applyAlignment="1">
      <alignment vertical="center"/>
    </xf>
    <xf numFmtId="164" fontId="55" fillId="8" borderId="4" xfId="0" applyFont="1" applyFill="1" applyBorder="1" applyAlignment="1">
      <alignment horizontal="left" indent="3"/>
    </xf>
    <xf numFmtId="164" fontId="0" fillId="0" borderId="0" xfId="0" applyFont="1" applyBorder="1" applyAlignment="1">
      <alignment horizontal="left" wrapText="1"/>
    </xf>
  </cellXfs>
  <cellStyles count="10">
    <cellStyle name="Normal" xfId="0"/>
    <cellStyle name="Comma" xfId="15"/>
    <cellStyle name="Comma [0]" xfId="16"/>
    <cellStyle name="Currency" xfId="17"/>
    <cellStyle name="Currency [0]" xfId="18"/>
    <cellStyle name="Percent" xfId="19"/>
    <cellStyle name="Dezimal_Einsparcheck V4" xfId="20"/>
    <cellStyle name="Euro" xfId="21"/>
    <cellStyle name="Excel_BuiltIn_Note" xfId="22"/>
    <cellStyle name="Excel_BuiltIn_20% - Accent3" xfId="23"/>
  </cellStyles>
  <dxfs count="5">
    <dxf>
      <font>
        <b val="0"/>
        <i val="0"/>
        <u val="none"/>
        <strike val="0"/>
        <sz val="10"/>
        <color rgb="FF000000"/>
      </font>
      <fill>
        <patternFill patternType="solid">
          <fgColor rgb="FFC0C0C0"/>
          <bgColor rgb="FF99CCFF"/>
        </patternFill>
      </fill>
      <border>
        <left>
          <color rgb="FF000000"/>
        </left>
        <right>
          <color rgb="FF000000"/>
        </right>
        <top>
          <color rgb="FF000000"/>
        </top>
        <bottom>
          <color rgb="FF000000"/>
        </bottom>
      </border>
    </dxf>
    <dxf>
      <font>
        <b/>
        <i val="0"/>
        <u val="none"/>
        <strike val="0"/>
        <sz val="10"/>
        <color rgb="FF000000"/>
      </font>
      <fill>
        <patternFill patternType="none">
          <fgColor indexed="64"/>
          <bgColor indexed="65"/>
        </patternFill>
      </fill>
      <border>
        <left>
          <color rgb="FF000000"/>
        </left>
        <right>
          <color rgb="FF000000"/>
        </right>
        <top>
          <color rgb="FF000000"/>
        </top>
        <bottom>
          <color rgb="FF000000"/>
        </bottom>
      </border>
    </dxf>
    <dxf>
      <font>
        <b/>
        <i val="0"/>
        <u val="none"/>
        <strike val="0"/>
        <sz val="10"/>
        <color rgb="FFFF0000"/>
      </font>
      <fill>
        <patternFill patternType="none">
          <fgColor indexed="64"/>
          <bgColor indexed="65"/>
        </patternFill>
      </fill>
      <border>
        <left>
          <color rgb="FF000000"/>
        </left>
        <right>
          <color rgb="FF000000"/>
        </right>
        <top>
          <color rgb="FF000000"/>
        </top>
        <bottom>
          <color rgb="FF000000"/>
        </bottom>
      </border>
    </dxf>
    <dxf>
      <font>
        <b val="0"/>
        <i val="0"/>
        <u val="none"/>
        <strike val="0"/>
        <sz val="10"/>
        <color rgb="FF000000"/>
      </font>
      <fill>
        <patternFill patternType="solid">
          <fgColor rgb="FFCCFFFF"/>
          <bgColor rgb="FFCCFFCC"/>
        </patternFill>
      </fill>
      <border>
        <left>
          <color rgb="FF000000"/>
        </left>
        <right>
          <color rgb="FF000000"/>
        </right>
        <top>
          <color rgb="FF000000"/>
        </top>
        <bottom>
          <color rgb="FF000000"/>
        </bottom>
      </border>
    </dxf>
    <dxf>
      <font>
        <b val="0"/>
        <i val="0"/>
        <u val="none"/>
        <strike val="0"/>
        <sz val="10"/>
        <color rgb="FF000000"/>
      </font>
      <fill>
        <patternFill patternType="solid">
          <fgColor rgb="FFE8F2A1"/>
          <bgColor rgb="FFFFFF99"/>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FD095"/>
      <rgbColor rgb="00993366"/>
      <rgbColor rgb="00FFFFCC"/>
      <rgbColor rgb="00CCFFFF"/>
      <rgbColor rgb="00660066"/>
      <rgbColor rgb="00FF8080"/>
      <rgbColor rgb="000066CC"/>
      <rgbColor rgb="00CCCCCC"/>
      <rgbColor rgb="00000080"/>
      <rgbColor rgb="00FF00FF"/>
      <rgbColor rgb="00FFD320"/>
      <rgbColor rgb="0000FFFF"/>
      <rgbColor rgb="00800080"/>
      <rgbColor rgb="00800000"/>
      <rgbColor rgb="00008080"/>
      <rgbColor rgb="000000FF"/>
      <rgbColor rgb="0000B8FF"/>
      <rgbColor rgb="00E8F2A1"/>
      <rgbColor rgb="00CCFFCC"/>
      <rgbColor rgb="00FFFF99"/>
      <rgbColor rgb="0099CCFF"/>
      <rgbColor rgb="00FFA6A6"/>
      <rgbColor rgb="00CC99FF"/>
      <rgbColor rgb="00FFCC99"/>
      <rgbColor rgb="003366FF"/>
      <rgbColor rgb="0033CCCC"/>
      <rgbColor rgb="0099CC00"/>
      <rgbColor rgb="00FFBF00"/>
      <rgbColor rgb="00FF9900"/>
      <rgbColor rgb="00FF6600"/>
      <rgbColor rgb="00666699"/>
      <rgbColor rgb="00969696"/>
      <rgbColor rgb="003D3D3D"/>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11.png" /><Relationship Id="rId7" Type="http://schemas.openxmlformats.org/officeDocument/2006/relationships/image" Target="../media/image12.png" /><Relationship Id="rId8" Type="http://schemas.openxmlformats.org/officeDocument/2006/relationships/image" Target="../media/image13.png" /><Relationship Id="rId9" Type="http://schemas.openxmlformats.org/officeDocument/2006/relationships/image" Target="../media/image14.png" /><Relationship Id="rId10" Type="http://schemas.openxmlformats.org/officeDocument/2006/relationships/image" Target="../media/image15.png" /><Relationship Id="rId11" Type="http://schemas.openxmlformats.org/officeDocument/2006/relationships/image" Target="../media/image16.png" /><Relationship Id="rId12" Type="http://schemas.openxmlformats.org/officeDocument/2006/relationships/image" Target="../media/image17.png" /><Relationship Id="rId13" Type="http://schemas.openxmlformats.org/officeDocument/2006/relationships/image" Target="../media/image18.png" /><Relationship Id="rId14" Type="http://schemas.openxmlformats.org/officeDocument/2006/relationships/image" Target="../media/image19.png" /><Relationship Id="rId15" Type="http://schemas.openxmlformats.org/officeDocument/2006/relationships/image" Target="../media/image1.png" /><Relationship Id="rId16" Type="http://schemas.openxmlformats.org/officeDocument/2006/relationships/image" Target="../media/image2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1.jpeg" /><Relationship Id="rId2" Type="http://schemas.openxmlformats.org/officeDocument/2006/relationships/image" Target="../media/image1.png" /><Relationship Id="rId3"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190500</xdr:colOff>
      <xdr:row>0</xdr:row>
      <xdr:rowOff>533400</xdr:rowOff>
    </xdr:to>
    <xdr:pic>
      <xdr:nvPicPr>
        <xdr:cNvPr id="1" name="Picture 6_0"/>
        <xdr:cNvPicPr preferRelativeResize="1">
          <a:picLocks noChangeAspect="1"/>
        </xdr:cNvPicPr>
      </xdr:nvPicPr>
      <xdr:blipFill>
        <a:blip r:embed="rId1"/>
        <a:stretch>
          <a:fillRect/>
        </a:stretch>
      </xdr:blipFill>
      <xdr:spPr>
        <a:xfrm>
          <a:off x="180975" y="0"/>
          <a:ext cx="819150" cy="53340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139</xdr:row>
      <xdr:rowOff>0</xdr:rowOff>
    </xdr:from>
    <xdr:to>
      <xdr:col>19</xdr:col>
      <xdr:colOff>133350</xdr:colOff>
      <xdr:row>139</xdr:row>
      <xdr:rowOff>800100</xdr:rowOff>
    </xdr:to>
    <xdr:pic>
      <xdr:nvPicPr>
        <xdr:cNvPr id="1" name="Picture 17" hidden="1"/>
        <xdr:cNvPicPr preferRelativeResize="1">
          <a:picLocks noChangeAspect="1"/>
        </xdr:cNvPicPr>
      </xdr:nvPicPr>
      <xdr:blipFill>
        <a:blip r:embed="rId1"/>
        <a:stretch>
          <a:fillRect/>
        </a:stretch>
      </xdr:blipFill>
      <xdr:spPr>
        <a:xfrm>
          <a:off x="5495925" y="17526000"/>
          <a:ext cx="695325" cy="800100"/>
        </a:xfrm>
        <a:prstGeom prst="rect">
          <a:avLst/>
        </a:prstGeom>
        <a:blipFill>
          <a:blip r:embed=""/>
          <a:srcRect/>
          <a:stretch>
            <a:fillRect/>
          </a:stretch>
        </a:blipFill>
        <a:ln w="9525" cmpd="sng">
          <a:noFill/>
        </a:ln>
      </xdr:spPr>
    </xdr:pic>
    <xdr:clientData/>
  </xdr:twoCellAnchor>
  <xdr:twoCellAnchor>
    <xdr:from>
      <xdr:col>15</xdr:col>
      <xdr:colOff>28575</xdr:colOff>
      <xdr:row>139</xdr:row>
      <xdr:rowOff>0</xdr:rowOff>
    </xdr:from>
    <xdr:to>
      <xdr:col>15</xdr:col>
      <xdr:colOff>38100</xdr:colOff>
      <xdr:row>139</xdr:row>
      <xdr:rowOff>9525</xdr:rowOff>
    </xdr:to>
    <xdr:pic>
      <xdr:nvPicPr>
        <xdr:cNvPr id="2" name="Picture 19" hidden="1"/>
        <xdr:cNvPicPr preferRelativeResize="1">
          <a:picLocks noChangeAspect="1"/>
        </xdr:cNvPicPr>
      </xdr:nvPicPr>
      <xdr:blipFill>
        <a:blip r:embed="rId2"/>
        <a:stretch>
          <a:fillRect/>
        </a:stretch>
      </xdr:blipFill>
      <xdr:spPr>
        <a:xfrm>
          <a:off x="4772025" y="17526000"/>
          <a:ext cx="9525" cy="9525"/>
        </a:xfrm>
        <a:prstGeom prst="rect">
          <a:avLst/>
        </a:prstGeom>
        <a:blipFill>
          <a:blip r:embed=""/>
          <a:srcRect/>
          <a:stretch>
            <a:fillRect/>
          </a:stretch>
        </a:blipFill>
        <a:ln w="9525" cmpd="sng">
          <a:noFill/>
        </a:ln>
      </xdr:spPr>
    </xdr:pic>
    <xdr:clientData/>
  </xdr:twoCellAnchor>
  <xdr:twoCellAnchor>
    <xdr:from>
      <xdr:col>22</xdr:col>
      <xdr:colOff>28575</xdr:colOff>
      <xdr:row>139</xdr:row>
      <xdr:rowOff>0</xdr:rowOff>
    </xdr:from>
    <xdr:to>
      <xdr:col>22</xdr:col>
      <xdr:colOff>38100</xdr:colOff>
      <xdr:row>139</xdr:row>
      <xdr:rowOff>9525</xdr:rowOff>
    </xdr:to>
    <xdr:pic>
      <xdr:nvPicPr>
        <xdr:cNvPr id="3" name="Picture 20" hidden="1"/>
        <xdr:cNvPicPr preferRelativeResize="1">
          <a:picLocks noChangeAspect="1"/>
        </xdr:cNvPicPr>
      </xdr:nvPicPr>
      <xdr:blipFill>
        <a:blip r:embed="rId2"/>
        <a:stretch>
          <a:fillRect/>
        </a:stretch>
      </xdr:blipFill>
      <xdr:spPr>
        <a:xfrm>
          <a:off x="6981825" y="17526000"/>
          <a:ext cx="9525" cy="9525"/>
        </a:xfrm>
        <a:prstGeom prst="rect">
          <a:avLst/>
        </a:prstGeom>
        <a:blipFill>
          <a:blip r:embed=""/>
          <a:srcRect/>
          <a:stretch>
            <a:fillRect/>
          </a:stretch>
        </a:blipFill>
        <a:ln w="9525" cmpd="sng">
          <a:noFill/>
        </a:ln>
      </xdr:spPr>
    </xdr:pic>
    <xdr:clientData/>
  </xdr:twoCellAnchor>
  <xdr:twoCellAnchor>
    <xdr:from>
      <xdr:col>13</xdr:col>
      <xdr:colOff>276225</xdr:colOff>
      <xdr:row>139</xdr:row>
      <xdr:rowOff>0</xdr:rowOff>
    </xdr:from>
    <xdr:to>
      <xdr:col>17</xdr:col>
      <xdr:colOff>38100</xdr:colOff>
      <xdr:row>139</xdr:row>
      <xdr:rowOff>800100</xdr:rowOff>
    </xdr:to>
    <xdr:pic>
      <xdr:nvPicPr>
        <xdr:cNvPr id="4" name="Picture 21" hidden="1"/>
        <xdr:cNvPicPr preferRelativeResize="1">
          <a:picLocks noChangeAspect="1"/>
        </xdr:cNvPicPr>
      </xdr:nvPicPr>
      <xdr:blipFill>
        <a:blip r:embed="rId3"/>
        <a:stretch>
          <a:fillRect/>
        </a:stretch>
      </xdr:blipFill>
      <xdr:spPr>
        <a:xfrm>
          <a:off x="4343400" y="17526000"/>
          <a:ext cx="1123950" cy="800100"/>
        </a:xfrm>
        <a:prstGeom prst="rect">
          <a:avLst/>
        </a:prstGeom>
        <a:blipFill>
          <a:blip r:embed=""/>
          <a:srcRect/>
          <a:stretch>
            <a:fillRect/>
          </a:stretch>
        </a:blipFill>
        <a:ln w="9525" cmpd="sng">
          <a:noFill/>
        </a:ln>
      </xdr:spPr>
    </xdr:pic>
    <xdr:clientData/>
  </xdr:twoCellAnchor>
  <xdr:twoCellAnchor>
    <xdr:from>
      <xdr:col>15</xdr:col>
      <xdr:colOff>257175</xdr:colOff>
      <xdr:row>114</xdr:row>
      <xdr:rowOff>142875</xdr:rowOff>
    </xdr:from>
    <xdr:to>
      <xdr:col>20</xdr:col>
      <xdr:colOff>76200</xdr:colOff>
      <xdr:row>115</xdr:row>
      <xdr:rowOff>161925</xdr:rowOff>
    </xdr:to>
    <xdr:pic>
      <xdr:nvPicPr>
        <xdr:cNvPr id="5" name="Picture 22"/>
        <xdr:cNvPicPr preferRelativeResize="1">
          <a:picLocks noChangeAspect="1"/>
        </xdr:cNvPicPr>
      </xdr:nvPicPr>
      <xdr:blipFill>
        <a:blip r:embed="rId4"/>
        <a:stretch>
          <a:fillRect/>
        </a:stretch>
      </xdr:blipFill>
      <xdr:spPr>
        <a:xfrm>
          <a:off x="5000625" y="15373350"/>
          <a:ext cx="1428750" cy="771525"/>
        </a:xfrm>
        <a:prstGeom prst="rect">
          <a:avLst/>
        </a:prstGeom>
        <a:blipFill>
          <a:blip r:embed=""/>
          <a:srcRect/>
          <a:stretch>
            <a:fillRect/>
          </a:stretch>
        </a:blipFill>
        <a:ln w="9525" cmpd="sng">
          <a:noFill/>
        </a:ln>
      </xdr:spPr>
    </xdr:pic>
    <xdr:clientData/>
  </xdr:twoCellAnchor>
  <xdr:twoCellAnchor>
    <xdr:from>
      <xdr:col>17</xdr:col>
      <xdr:colOff>47625</xdr:colOff>
      <xdr:row>139</xdr:row>
      <xdr:rowOff>133350</xdr:rowOff>
    </xdr:from>
    <xdr:to>
      <xdr:col>20</xdr:col>
      <xdr:colOff>276225</xdr:colOff>
      <xdr:row>140</xdr:row>
      <xdr:rowOff>142875</xdr:rowOff>
    </xdr:to>
    <xdr:pic>
      <xdr:nvPicPr>
        <xdr:cNvPr id="6" name="Picture 27"/>
        <xdr:cNvPicPr preferRelativeResize="1">
          <a:picLocks noChangeAspect="1"/>
        </xdr:cNvPicPr>
      </xdr:nvPicPr>
      <xdr:blipFill>
        <a:blip r:embed="rId5"/>
        <a:stretch>
          <a:fillRect/>
        </a:stretch>
      </xdr:blipFill>
      <xdr:spPr>
        <a:xfrm>
          <a:off x="5476875" y="17659350"/>
          <a:ext cx="1152525" cy="828675"/>
        </a:xfrm>
        <a:prstGeom prst="rect">
          <a:avLst/>
        </a:prstGeom>
        <a:blipFill>
          <a:blip r:embed=""/>
          <a:srcRect/>
          <a:stretch>
            <a:fillRect/>
          </a:stretch>
        </a:blipFill>
        <a:ln w="9525" cmpd="sng">
          <a:noFill/>
        </a:ln>
      </xdr:spPr>
    </xdr:pic>
    <xdr:clientData/>
  </xdr:twoCellAnchor>
  <xdr:twoCellAnchor>
    <xdr:from>
      <xdr:col>18</xdr:col>
      <xdr:colOff>28575</xdr:colOff>
      <xdr:row>158</xdr:row>
      <xdr:rowOff>9525</xdr:rowOff>
    </xdr:from>
    <xdr:to>
      <xdr:col>21</xdr:col>
      <xdr:colOff>133350</xdr:colOff>
      <xdr:row>159</xdr:row>
      <xdr:rowOff>200025</xdr:rowOff>
    </xdr:to>
    <xdr:pic>
      <xdr:nvPicPr>
        <xdr:cNvPr id="7" name="Picture 30"/>
        <xdr:cNvPicPr preferRelativeResize="1">
          <a:picLocks noChangeAspect="1"/>
        </xdr:cNvPicPr>
      </xdr:nvPicPr>
      <xdr:blipFill>
        <a:blip r:embed="rId6"/>
        <a:stretch>
          <a:fillRect/>
        </a:stretch>
      </xdr:blipFill>
      <xdr:spPr>
        <a:xfrm>
          <a:off x="5772150" y="20583525"/>
          <a:ext cx="1000125" cy="847725"/>
        </a:xfrm>
        <a:prstGeom prst="rect">
          <a:avLst/>
        </a:prstGeom>
        <a:blipFill>
          <a:blip r:embed=""/>
          <a:srcRect/>
          <a:stretch>
            <a:fillRect/>
          </a:stretch>
        </a:blipFill>
        <a:ln w="9525" cmpd="sng">
          <a:noFill/>
        </a:ln>
      </xdr:spPr>
    </xdr:pic>
    <xdr:clientData/>
  </xdr:twoCellAnchor>
  <xdr:twoCellAnchor>
    <xdr:from>
      <xdr:col>17</xdr:col>
      <xdr:colOff>47625</xdr:colOff>
      <xdr:row>186</xdr:row>
      <xdr:rowOff>247650</xdr:rowOff>
    </xdr:from>
    <xdr:to>
      <xdr:col>20</xdr:col>
      <xdr:colOff>257175</xdr:colOff>
      <xdr:row>187</xdr:row>
      <xdr:rowOff>219075</xdr:rowOff>
    </xdr:to>
    <xdr:pic>
      <xdr:nvPicPr>
        <xdr:cNvPr id="8" name="Picture 31"/>
        <xdr:cNvPicPr preferRelativeResize="1">
          <a:picLocks noChangeAspect="1"/>
        </xdr:cNvPicPr>
      </xdr:nvPicPr>
      <xdr:blipFill>
        <a:blip r:embed="rId7"/>
        <a:stretch>
          <a:fillRect/>
        </a:stretch>
      </xdr:blipFill>
      <xdr:spPr>
        <a:xfrm>
          <a:off x="5476875" y="24536400"/>
          <a:ext cx="1133475" cy="781050"/>
        </a:xfrm>
        <a:prstGeom prst="rect">
          <a:avLst/>
        </a:prstGeom>
        <a:blipFill>
          <a:blip r:embed=""/>
          <a:srcRect/>
          <a:stretch>
            <a:fillRect/>
          </a:stretch>
        </a:blipFill>
        <a:ln w="9525" cmpd="sng">
          <a:noFill/>
        </a:ln>
      </xdr:spPr>
    </xdr:pic>
    <xdr:clientData/>
  </xdr:twoCellAnchor>
  <xdr:twoCellAnchor>
    <xdr:from>
      <xdr:col>13</xdr:col>
      <xdr:colOff>57150</xdr:colOff>
      <xdr:row>139</xdr:row>
      <xdr:rowOff>333375</xdr:rowOff>
    </xdr:from>
    <xdr:to>
      <xdr:col>16</xdr:col>
      <xdr:colOff>228600</xdr:colOff>
      <xdr:row>140</xdr:row>
      <xdr:rowOff>123825</xdr:rowOff>
    </xdr:to>
    <xdr:pic>
      <xdr:nvPicPr>
        <xdr:cNvPr id="9" name="Picture 36"/>
        <xdr:cNvPicPr preferRelativeResize="1">
          <a:picLocks noChangeAspect="1"/>
        </xdr:cNvPicPr>
      </xdr:nvPicPr>
      <xdr:blipFill>
        <a:blip r:embed="rId8"/>
        <a:stretch>
          <a:fillRect/>
        </a:stretch>
      </xdr:blipFill>
      <xdr:spPr>
        <a:xfrm>
          <a:off x="4124325" y="17859375"/>
          <a:ext cx="1247775" cy="609600"/>
        </a:xfrm>
        <a:prstGeom prst="rect">
          <a:avLst/>
        </a:prstGeom>
        <a:blipFill>
          <a:blip r:embed=""/>
          <a:srcRect/>
          <a:stretch>
            <a:fillRect/>
          </a:stretch>
        </a:blipFill>
        <a:ln w="9525" cmpd="sng">
          <a:noFill/>
        </a:ln>
      </xdr:spPr>
    </xdr:pic>
    <xdr:clientData/>
  </xdr:twoCellAnchor>
  <xdr:twoCellAnchor>
    <xdr:from>
      <xdr:col>15</xdr:col>
      <xdr:colOff>66675</xdr:colOff>
      <xdr:row>158</xdr:row>
      <xdr:rowOff>133350</xdr:rowOff>
    </xdr:from>
    <xdr:to>
      <xdr:col>18</xdr:col>
      <xdr:colOff>38100</xdr:colOff>
      <xdr:row>159</xdr:row>
      <xdr:rowOff>219075</xdr:rowOff>
    </xdr:to>
    <xdr:pic>
      <xdr:nvPicPr>
        <xdr:cNvPr id="10" name="Picture 37"/>
        <xdr:cNvPicPr preferRelativeResize="1">
          <a:picLocks noChangeAspect="1"/>
        </xdr:cNvPicPr>
      </xdr:nvPicPr>
      <xdr:blipFill>
        <a:blip r:embed="rId9"/>
        <a:stretch>
          <a:fillRect/>
        </a:stretch>
      </xdr:blipFill>
      <xdr:spPr>
        <a:xfrm>
          <a:off x="4810125" y="20707350"/>
          <a:ext cx="971550" cy="742950"/>
        </a:xfrm>
        <a:prstGeom prst="rect">
          <a:avLst/>
        </a:prstGeom>
        <a:blipFill>
          <a:blip r:embed=""/>
          <a:srcRect/>
          <a:stretch>
            <a:fillRect/>
          </a:stretch>
        </a:blipFill>
        <a:ln w="9525" cmpd="sng">
          <a:noFill/>
        </a:ln>
      </xdr:spPr>
    </xdr:pic>
    <xdr:clientData/>
  </xdr:twoCellAnchor>
  <xdr:twoCellAnchor>
    <xdr:from>
      <xdr:col>17</xdr:col>
      <xdr:colOff>152400</xdr:colOff>
      <xdr:row>199</xdr:row>
      <xdr:rowOff>104775</xdr:rowOff>
    </xdr:from>
    <xdr:to>
      <xdr:col>20</xdr:col>
      <xdr:colOff>285750</xdr:colOff>
      <xdr:row>200</xdr:row>
      <xdr:rowOff>219075</xdr:rowOff>
    </xdr:to>
    <xdr:pic>
      <xdr:nvPicPr>
        <xdr:cNvPr id="11" name="Picture 38"/>
        <xdr:cNvPicPr preferRelativeResize="1">
          <a:picLocks noChangeAspect="1"/>
        </xdr:cNvPicPr>
      </xdr:nvPicPr>
      <xdr:blipFill>
        <a:blip r:embed="rId10"/>
        <a:stretch>
          <a:fillRect/>
        </a:stretch>
      </xdr:blipFill>
      <xdr:spPr>
        <a:xfrm>
          <a:off x="5581650" y="27031950"/>
          <a:ext cx="1057275" cy="876300"/>
        </a:xfrm>
        <a:prstGeom prst="rect">
          <a:avLst/>
        </a:prstGeom>
        <a:blipFill>
          <a:blip r:embed=""/>
          <a:srcRect/>
          <a:stretch>
            <a:fillRect/>
          </a:stretch>
        </a:blipFill>
        <a:ln w="9525" cmpd="sng">
          <a:noFill/>
        </a:ln>
      </xdr:spPr>
    </xdr:pic>
    <xdr:clientData/>
  </xdr:twoCellAnchor>
  <xdr:twoCellAnchor>
    <xdr:from>
      <xdr:col>14</xdr:col>
      <xdr:colOff>200025</xdr:colOff>
      <xdr:row>199</xdr:row>
      <xdr:rowOff>228600</xdr:rowOff>
    </xdr:from>
    <xdr:to>
      <xdr:col>17</xdr:col>
      <xdr:colOff>104775</xdr:colOff>
      <xdr:row>200</xdr:row>
      <xdr:rowOff>209550</xdr:rowOff>
    </xdr:to>
    <xdr:pic>
      <xdr:nvPicPr>
        <xdr:cNvPr id="12" name="Picture 39"/>
        <xdr:cNvPicPr preferRelativeResize="1">
          <a:picLocks noChangeAspect="1"/>
        </xdr:cNvPicPr>
      </xdr:nvPicPr>
      <xdr:blipFill>
        <a:blip r:embed="rId11"/>
        <a:stretch>
          <a:fillRect/>
        </a:stretch>
      </xdr:blipFill>
      <xdr:spPr>
        <a:xfrm>
          <a:off x="4600575" y="27155775"/>
          <a:ext cx="933450" cy="742950"/>
        </a:xfrm>
        <a:prstGeom prst="rect">
          <a:avLst/>
        </a:prstGeom>
        <a:blipFill>
          <a:blip r:embed=""/>
          <a:srcRect/>
          <a:stretch>
            <a:fillRect/>
          </a:stretch>
        </a:blipFill>
        <a:ln w="9525" cmpd="sng">
          <a:noFill/>
        </a:ln>
      </xdr:spPr>
    </xdr:pic>
    <xdr:clientData/>
  </xdr:twoCellAnchor>
  <xdr:twoCellAnchor>
    <xdr:from>
      <xdr:col>18</xdr:col>
      <xdr:colOff>85725</xdr:colOff>
      <xdr:row>289</xdr:row>
      <xdr:rowOff>0</xdr:rowOff>
    </xdr:from>
    <xdr:to>
      <xdr:col>21</xdr:col>
      <xdr:colOff>19050</xdr:colOff>
      <xdr:row>293</xdr:row>
      <xdr:rowOff>9525</xdr:rowOff>
    </xdr:to>
    <xdr:pic>
      <xdr:nvPicPr>
        <xdr:cNvPr id="13" name="Picture 40" hidden="1"/>
        <xdr:cNvPicPr preferRelativeResize="1">
          <a:picLocks noChangeAspect="1"/>
        </xdr:cNvPicPr>
      </xdr:nvPicPr>
      <xdr:blipFill>
        <a:blip r:embed="rId12"/>
        <a:stretch>
          <a:fillRect/>
        </a:stretch>
      </xdr:blipFill>
      <xdr:spPr>
        <a:xfrm>
          <a:off x="5829300" y="29975175"/>
          <a:ext cx="828675" cy="809625"/>
        </a:xfrm>
        <a:prstGeom prst="rect">
          <a:avLst/>
        </a:prstGeom>
        <a:blipFill>
          <a:blip r:embed=""/>
          <a:srcRect/>
          <a:stretch>
            <a:fillRect/>
          </a:stretch>
        </a:blipFill>
        <a:ln w="9525" cmpd="sng">
          <a:noFill/>
        </a:ln>
      </xdr:spPr>
    </xdr:pic>
    <xdr:clientData/>
  </xdr:twoCellAnchor>
  <xdr:twoCellAnchor>
    <xdr:from>
      <xdr:col>12</xdr:col>
      <xdr:colOff>381000</xdr:colOff>
      <xdr:row>289</xdr:row>
      <xdr:rowOff>0</xdr:rowOff>
    </xdr:from>
    <xdr:to>
      <xdr:col>18</xdr:col>
      <xdr:colOff>66675</xdr:colOff>
      <xdr:row>291</xdr:row>
      <xdr:rowOff>95250</xdr:rowOff>
    </xdr:to>
    <xdr:pic>
      <xdr:nvPicPr>
        <xdr:cNvPr id="14" name="Picture 41" hidden="1"/>
        <xdr:cNvPicPr preferRelativeResize="1">
          <a:picLocks noChangeAspect="1"/>
        </xdr:cNvPicPr>
      </xdr:nvPicPr>
      <xdr:blipFill>
        <a:blip r:embed="rId13"/>
        <a:stretch>
          <a:fillRect/>
        </a:stretch>
      </xdr:blipFill>
      <xdr:spPr>
        <a:xfrm>
          <a:off x="4029075" y="29975175"/>
          <a:ext cx="1781175" cy="523875"/>
        </a:xfrm>
        <a:prstGeom prst="rect">
          <a:avLst/>
        </a:prstGeom>
        <a:blipFill>
          <a:blip r:embed=""/>
          <a:srcRect/>
          <a:stretch>
            <a:fillRect/>
          </a:stretch>
        </a:blipFill>
        <a:ln w="9525" cmpd="sng">
          <a:noFill/>
        </a:ln>
      </xdr:spPr>
    </xdr:pic>
    <xdr:clientData/>
  </xdr:twoCellAnchor>
  <xdr:twoCellAnchor>
    <xdr:from>
      <xdr:col>15</xdr:col>
      <xdr:colOff>47625</xdr:colOff>
      <xdr:row>65</xdr:row>
      <xdr:rowOff>28575</xdr:rowOff>
    </xdr:from>
    <xdr:to>
      <xdr:col>19</xdr:col>
      <xdr:colOff>57150</xdr:colOff>
      <xdr:row>67</xdr:row>
      <xdr:rowOff>295275</xdr:rowOff>
    </xdr:to>
    <xdr:pic>
      <xdr:nvPicPr>
        <xdr:cNvPr id="15" name="Picture 44"/>
        <xdr:cNvPicPr preferRelativeResize="1">
          <a:picLocks noChangeAspect="1"/>
        </xdr:cNvPicPr>
      </xdr:nvPicPr>
      <xdr:blipFill>
        <a:blip r:embed="rId14"/>
        <a:stretch>
          <a:fillRect/>
        </a:stretch>
      </xdr:blipFill>
      <xdr:spPr>
        <a:xfrm>
          <a:off x="4791075" y="11106150"/>
          <a:ext cx="1323975" cy="809625"/>
        </a:xfrm>
        <a:prstGeom prst="rect">
          <a:avLst/>
        </a:prstGeom>
        <a:blipFill>
          <a:blip r:embed=""/>
          <a:srcRect/>
          <a:stretch>
            <a:fillRect/>
          </a:stretch>
        </a:blipFill>
        <a:ln w="9525" cmpd="sng">
          <a:noFill/>
        </a:ln>
      </xdr:spPr>
    </xdr:pic>
    <xdr:clientData/>
  </xdr:twoCellAnchor>
  <xdr:twoCellAnchor>
    <xdr:from>
      <xdr:col>1</xdr:col>
      <xdr:colOff>171450</xdr:colOff>
      <xdr:row>1</xdr:row>
      <xdr:rowOff>57150</xdr:rowOff>
    </xdr:from>
    <xdr:to>
      <xdr:col>5</xdr:col>
      <xdr:colOff>95250</xdr:colOff>
      <xdr:row>6</xdr:row>
      <xdr:rowOff>95250</xdr:rowOff>
    </xdr:to>
    <xdr:pic>
      <xdr:nvPicPr>
        <xdr:cNvPr id="16" name="Picture 6_9"/>
        <xdr:cNvPicPr preferRelativeResize="1">
          <a:picLocks noChangeAspect="1"/>
        </xdr:cNvPicPr>
      </xdr:nvPicPr>
      <xdr:blipFill>
        <a:blip r:embed="rId15"/>
        <a:stretch>
          <a:fillRect/>
        </a:stretch>
      </xdr:blipFill>
      <xdr:spPr>
        <a:xfrm>
          <a:off x="219075" y="133350"/>
          <a:ext cx="1181100" cy="762000"/>
        </a:xfrm>
        <a:prstGeom prst="rect">
          <a:avLst/>
        </a:prstGeom>
        <a:blipFill>
          <a:blip r:embed=""/>
          <a:srcRect/>
          <a:stretch>
            <a:fillRect/>
          </a:stretch>
        </a:blipFill>
        <a:ln w="9525" cmpd="sng">
          <a:noFill/>
        </a:ln>
      </xdr:spPr>
    </xdr:pic>
    <xdr:clientData/>
  </xdr:twoCellAnchor>
  <xdr:twoCellAnchor>
    <xdr:from>
      <xdr:col>8</xdr:col>
      <xdr:colOff>0</xdr:colOff>
      <xdr:row>1</xdr:row>
      <xdr:rowOff>57150</xdr:rowOff>
    </xdr:from>
    <xdr:to>
      <xdr:col>10</xdr:col>
      <xdr:colOff>142875</xdr:colOff>
      <xdr:row>5</xdr:row>
      <xdr:rowOff>0</xdr:rowOff>
    </xdr:to>
    <xdr:pic>
      <xdr:nvPicPr>
        <xdr:cNvPr id="17" name="Image 26"/>
        <xdr:cNvPicPr preferRelativeResize="1">
          <a:picLocks noChangeAspect="1"/>
        </xdr:cNvPicPr>
      </xdr:nvPicPr>
      <xdr:blipFill>
        <a:blip r:embed="rId16"/>
        <a:srcRect l="15998" r="16665" b="47648"/>
        <a:stretch>
          <a:fillRect/>
        </a:stretch>
      </xdr:blipFill>
      <xdr:spPr>
        <a:xfrm>
          <a:off x="2428875" y="133350"/>
          <a:ext cx="781050" cy="50482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38100</xdr:rowOff>
    </xdr:from>
    <xdr:to>
      <xdr:col>1</xdr:col>
      <xdr:colOff>266700</xdr:colOff>
      <xdr:row>0</xdr:row>
      <xdr:rowOff>581025</xdr:rowOff>
    </xdr:to>
    <xdr:pic>
      <xdr:nvPicPr>
        <xdr:cNvPr id="1" name="Picture 6_8"/>
        <xdr:cNvPicPr preferRelativeResize="1">
          <a:picLocks noChangeAspect="1"/>
        </xdr:cNvPicPr>
      </xdr:nvPicPr>
      <xdr:blipFill>
        <a:blip r:embed="rId1"/>
        <a:stretch>
          <a:fillRect/>
        </a:stretch>
      </xdr:blipFill>
      <xdr:spPr>
        <a:xfrm>
          <a:off x="200025" y="38100"/>
          <a:ext cx="828675" cy="542925"/>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123825</xdr:rowOff>
    </xdr:from>
    <xdr:to>
      <xdr:col>1</xdr:col>
      <xdr:colOff>590550</xdr:colOff>
      <xdr:row>19</xdr:row>
      <xdr:rowOff>180975</xdr:rowOff>
    </xdr:to>
    <xdr:pic>
      <xdr:nvPicPr>
        <xdr:cNvPr id="1" name="Picture 5_0"/>
        <xdr:cNvPicPr preferRelativeResize="1">
          <a:picLocks noChangeAspect="1"/>
        </xdr:cNvPicPr>
      </xdr:nvPicPr>
      <xdr:blipFill>
        <a:blip r:embed="rId1"/>
        <a:srcRect l="76777" r="15287" b="-27180"/>
        <a:stretch>
          <a:fillRect/>
        </a:stretch>
      </xdr:blipFill>
      <xdr:spPr>
        <a:xfrm>
          <a:off x="133350" y="2895600"/>
          <a:ext cx="561975" cy="781050"/>
        </a:xfrm>
        <a:prstGeom prst="rect">
          <a:avLst/>
        </a:prstGeom>
        <a:blipFill>
          <a:blip r:embed=""/>
          <a:srcRect/>
          <a:stretch>
            <a:fillRect/>
          </a:stretch>
        </a:blipFill>
        <a:ln w="9525" cmpd="sng">
          <a:noFill/>
        </a:ln>
      </xdr:spPr>
    </xdr:pic>
    <xdr:clientData/>
  </xdr:twoCellAnchor>
  <xdr:twoCellAnchor>
    <xdr:from>
      <xdr:col>1</xdr:col>
      <xdr:colOff>200025</xdr:colOff>
      <xdr:row>1</xdr:row>
      <xdr:rowOff>0</xdr:rowOff>
    </xdr:from>
    <xdr:to>
      <xdr:col>2</xdr:col>
      <xdr:colOff>314325</xdr:colOff>
      <xdr:row>3</xdr:row>
      <xdr:rowOff>85725</xdr:rowOff>
    </xdr:to>
    <xdr:pic>
      <xdr:nvPicPr>
        <xdr:cNvPr id="2" name="Picture 6_10"/>
        <xdr:cNvPicPr preferRelativeResize="1">
          <a:picLocks noChangeAspect="1"/>
        </xdr:cNvPicPr>
      </xdr:nvPicPr>
      <xdr:blipFill>
        <a:blip r:embed="rId2"/>
        <a:stretch>
          <a:fillRect/>
        </a:stretch>
      </xdr:blipFill>
      <xdr:spPr>
        <a:xfrm>
          <a:off x="304800" y="161925"/>
          <a:ext cx="828675" cy="542925"/>
        </a:xfrm>
        <a:prstGeom prst="rect">
          <a:avLst/>
        </a:prstGeom>
        <a:blipFill>
          <a:blip r:embed=""/>
          <a:srcRect/>
          <a:stretch>
            <a:fillRect/>
          </a:stretch>
        </a:blipFill>
        <a:ln w="9525" cmpd="sng">
          <a:noFill/>
        </a:ln>
      </xdr:spPr>
    </xdr:pic>
    <xdr:clientData/>
  </xdr:twoCellAnchor>
  <xdr:twoCellAnchor>
    <xdr:from>
      <xdr:col>1</xdr:col>
      <xdr:colOff>133350</xdr:colOff>
      <xdr:row>15</xdr:row>
      <xdr:rowOff>28575</xdr:rowOff>
    </xdr:from>
    <xdr:to>
      <xdr:col>1</xdr:col>
      <xdr:colOff>695325</xdr:colOff>
      <xdr:row>19</xdr:row>
      <xdr:rowOff>142875</xdr:rowOff>
    </xdr:to>
    <xdr:pic>
      <xdr:nvPicPr>
        <xdr:cNvPr id="3" name="Picture 5_1"/>
        <xdr:cNvPicPr preferRelativeResize="1">
          <a:picLocks noChangeAspect="1"/>
        </xdr:cNvPicPr>
      </xdr:nvPicPr>
      <xdr:blipFill>
        <a:blip r:embed="rId1"/>
        <a:srcRect l="76782" r="15287" b="-27113"/>
        <a:stretch>
          <a:fillRect/>
        </a:stretch>
      </xdr:blipFill>
      <xdr:spPr>
        <a:xfrm>
          <a:off x="238125" y="2800350"/>
          <a:ext cx="561975" cy="838200"/>
        </a:xfrm>
        <a:prstGeom prst="rect">
          <a:avLst/>
        </a:prstGeom>
        <a:blipFill>
          <a:blip r:embed=""/>
          <a:srcRect/>
          <a:stretch>
            <a:fillRect/>
          </a:stretch>
        </a:blipFill>
        <a:ln w="9525" cmpd="sng">
          <a:noFill/>
        </a:ln>
      </xdr:spPr>
    </xdr:pic>
    <xdr:clientData/>
  </xdr:twoCellAnchor>
  <xdr:twoCellAnchor>
    <xdr:from>
      <xdr:col>1</xdr:col>
      <xdr:colOff>133350</xdr:colOff>
      <xdr:row>21</xdr:row>
      <xdr:rowOff>19050</xdr:rowOff>
    </xdr:from>
    <xdr:to>
      <xdr:col>2</xdr:col>
      <xdr:colOff>200025</xdr:colOff>
      <xdr:row>21</xdr:row>
      <xdr:rowOff>600075</xdr:rowOff>
    </xdr:to>
    <xdr:pic>
      <xdr:nvPicPr>
        <xdr:cNvPr id="4" name="Image 26_2"/>
        <xdr:cNvPicPr preferRelativeResize="1">
          <a:picLocks noChangeAspect="1"/>
        </xdr:cNvPicPr>
      </xdr:nvPicPr>
      <xdr:blipFill>
        <a:blip r:embed="rId3"/>
        <a:srcRect l="15998" r="16665" b="47648"/>
        <a:stretch>
          <a:fillRect/>
        </a:stretch>
      </xdr:blipFill>
      <xdr:spPr>
        <a:xfrm>
          <a:off x="238125" y="3733800"/>
          <a:ext cx="781050" cy="5810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15</xdr:row>
      <xdr:rowOff>47625</xdr:rowOff>
    </xdr:from>
    <xdr:to>
      <xdr:col>12</xdr:col>
      <xdr:colOff>171450</xdr:colOff>
      <xdr:row>17</xdr:row>
      <xdr:rowOff>95250</xdr:rowOff>
    </xdr:to>
    <xdr:pic>
      <xdr:nvPicPr>
        <xdr:cNvPr id="1" name="Picture 136"/>
        <xdr:cNvPicPr preferRelativeResize="1">
          <a:picLocks noChangeAspect="1"/>
        </xdr:cNvPicPr>
      </xdr:nvPicPr>
      <xdr:blipFill>
        <a:blip r:embed="rId1"/>
        <a:stretch>
          <a:fillRect/>
        </a:stretch>
      </xdr:blipFill>
      <xdr:spPr>
        <a:xfrm>
          <a:off x="3629025" y="2819400"/>
          <a:ext cx="342900" cy="371475"/>
        </a:xfrm>
        <a:prstGeom prst="rect">
          <a:avLst/>
        </a:prstGeom>
        <a:blipFill>
          <a:blip r:embed=""/>
          <a:srcRect/>
          <a:stretch>
            <a:fillRect/>
          </a:stretch>
        </a:blipFill>
        <a:ln w="9525" cmpd="sng">
          <a:noFill/>
        </a:ln>
      </xdr:spPr>
    </xdr:pic>
    <xdr:clientData/>
  </xdr:twoCellAnchor>
  <xdr:twoCellAnchor>
    <xdr:from>
      <xdr:col>12</xdr:col>
      <xdr:colOff>266700</xdr:colOff>
      <xdr:row>15</xdr:row>
      <xdr:rowOff>9525</xdr:rowOff>
    </xdr:from>
    <xdr:to>
      <xdr:col>14</xdr:col>
      <xdr:colOff>361950</xdr:colOff>
      <xdr:row>17</xdr:row>
      <xdr:rowOff>123825</xdr:rowOff>
    </xdr:to>
    <xdr:pic>
      <xdr:nvPicPr>
        <xdr:cNvPr id="2" name="Picture 137"/>
        <xdr:cNvPicPr preferRelativeResize="1">
          <a:picLocks noChangeAspect="1"/>
        </xdr:cNvPicPr>
      </xdr:nvPicPr>
      <xdr:blipFill>
        <a:blip r:embed="rId2"/>
        <a:stretch>
          <a:fillRect/>
        </a:stretch>
      </xdr:blipFill>
      <xdr:spPr>
        <a:xfrm>
          <a:off x="4067175" y="2781300"/>
          <a:ext cx="752475" cy="438150"/>
        </a:xfrm>
        <a:prstGeom prst="rect">
          <a:avLst/>
        </a:prstGeom>
        <a:blipFill>
          <a:blip r:embed=""/>
          <a:srcRect/>
          <a:stretch>
            <a:fillRect/>
          </a:stretch>
        </a:blipFill>
        <a:ln w="9525" cmpd="sng">
          <a:noFill/>
        </a:ln>
      </xdr:spPr>
    </xdr:pic>
    <xdr:clientData/>
  </xdr:twoCellAnchor>
  <xdr:twoCellAnchor>
    <xdr:from>
      <xdr:col>15</xdr:col>
      <xdr:colOff>95250</xdr:colOff>
      <xdr:row>14</xdr:row>
      <xdr:rowOff>133350</xdr:rowOff>
    </xdr:from>
    <xdr:to>
      <xdr:col>17</xdr:col>
      <xdr:colOff>171450</xdr:colOff>
      <xdr:row>17</xdr:row>
      <xdr:rowOff>133350</xdr:rowOff>
    </xdr:to>
    <xdr:pic>
      <xdr:nvPicPr>
        <xdr:cNvPr id="3" name="Picture 138"/>
        <xdr:cNvPicPr preferRelativeResize="1">
          <a:picLocks noChangeAspect="1"/>
        </xdr:cNvPicPr>
      </xdr:nvPicPr>
      <xdr:blipFill>
        <a:blip r:embed="rId3"/>
        <a:stretch>
          <a:fillRect/>
        </a:stretch>
      </xdr:blipFill>
      <xdr:spPr>
        <a:xfrm>
          <a:off x="4933950" y="2724150"/>
          <a:ext cx="800100" cy="504825"/>
        </a:xfrm>
        <a:prstGeom prst="rect">
          <a:avLst/>
        </a:prstGeom>
        <a:blipFill>
          <a:blip r:embed=""/>
          <a:srcRect/>
          <a:stretch>
            <a:fillRect/>
          </a:stretch>
        </a:blipFill>
        <a:ln w="9525" cmpd="sng">
          <a:noFill/>
        </a:ln>
      </xdr:spPr>
    </xdr:pic>
    <xdr:clientData/>
  </xdr:twoCellAnchor>
  <xdr:twoCellAnchor>
    <xdr:from>
      <xdr:col>11</xdr:col>
      <xdr:colOff>104775</xdr:colOff>
      <xdr:row>11</xdr:row>
      <xdr:rowOff>47625</xdr:rowOff>
    </xdr:from>
    <xdr:to>
      <xdr:col>12</xdr:col>
      <xdr:colOff>228600</xdr:colOff>
      <xdr:row>14</xdr:row>
      <xdr:rowOff>180975</xdr:rowOff>
    </xdr:to>
    <xdr:pic>
      <xdr:nvPicPr>
        <xdr:cNvPr id="4" name="Picture 139"/>
        <xdr:cNvPicPr preferRelativeResize="1">
          <a:picLocks noChangeAspect="1"/>
        </xdr:cNvPicPr>
      </xdr:nvPicPr>
      <xdr:blipFill>
        <a:blip r:embed="rId4"/>
        <a:stretch>
          <a:fillRect/>
        </a:stretch>
      </xdr:blipFill>
      <xdr:spPr>
        <a:xfrm>
          <a:off x="3590925" y="2105025"/>
          <a:ext cx="438150" cy="666750"/>
        </a:xfrm>
        <a:prstGeom prst="rect">
          <a:avLst/>
        </a:prstGeom>
        <a:blipFill>
          <a:blip r:embed=""/>
          <a:srcRect/>
          <a:stretch>
            <a:fillRect/>
          </a:stretch>
        </a:blipFill>
        <a:ln w="9525" cmpd="sng">
          <a:noFill/>
        </a:ln>
      </xdr:spPr>
    </xdr:pic>
    <xdr:clientData/>
  </xdr:twoCellAnchor>
  <xdr:twoCellAnchor>
    <xdr:from>
      <xdr:col>0</xdr:col>
      <xdr:colOff>171450</xdr:colOff>
      <xdr:row>0</xdr:row>
      <xdr:rowOff>0</xdr:rowOff>
    </xdr:from>
    <xdr:to>
      <xdr:col>3</xdr:col>
      <xdr:colOff>180975</xdr:colOff>
      <xdr:row>0</xdr:row>
      <xdr:rowOff>533400</xdr:rowOff>
    </xdr:to>
    <xdr:pic>
      <xdr:nvPicPr>
        <xdr:cNvPr id="5" name="Picture 6_1"/>
        <xdr:cNvPicPr preferRelativeResize="1">
          <a:picLocks noChangeAspect="1"/>
        </xdr:cNvPicPr>
      </xdr:nvPicPr>
      <xdr:blipFill>
        <a:blip r:embed="rId5"/>
        <a:stretch>
          <a:fillRect/>
        </a:stretch>
      </xdr:blipFill>
      <xdr:spPr>
        <a:xfrm>
          <a:off x="171450" y="0"/>
          <a:ext cx="828675" cy="5334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0</xdr:col>
      <xdr:colOff>990600</xdr:colOff>
      <xdr:row>1</xdr:row>
      <xdr:rowOff>95250</xdr:rowOff>
    </xdr:to>
    <xdr:pic>
      <xdr:nvPicPr>
        <xdr:cNvPr id="1" name="Picture 6_2"/>
        <xdr:cNvPicPr preferRelativeResize="1">
          <a:picLocks noChangeAspect="1"/>
        </xdr:cNvPicPr>
      </xdr:nvPicPr>
      <xdr:blipFill>
        <a:blip r:embed="rId1"/>
        <a:stretch>
          <a:fillRect/>
        </a:stretch>
      </xdr:blipFill>
      <xdr:spPr>
        <a:xfrm>
          <a:off x="171450" y="0"/>
          <a:ext cx="819150" cy="5334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3</xdr:col>
      <xdr:colOff>190500</xdr:colOff>
      <xdr:row>0</xdr:row>
      <xdr:rowOff>542925</xdr:rowOff>
    </xdr:to>
    <xdr:pic>
      <xdr:nvPicPr>
        <xdr:cNvPr id="1" name="Picture 6_3"/>
        <xdr:cNvPicPr preferRelativeResize="1">
          <a:picLocks noChangeAspect="1"/>
        </xdr:cNvPicPr>
      </xdr:nvPicPr>
      <xdr:blipFill>
        <a:blip r:embed="rId1"/>
        <a:stretch>
          <a:fillRect/>
        </a:stretch>
      </xdr:blipFill>
      <xdr:spPr>
        <a:xfrm>
          <a:off x="180975" y="0"/>
          <a:ext cx="819150" cy="5429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38100</xdr:rowOff>
    </xdr:from>
    <xdr:to>
      <xdr:col>0</xdr:col>
      <xdr:colOff>1028700</xdr:colOff>
      <xdr:row>1</xdr:row>
      <xdr:rowOff>95250</xdr:rowOff>
    </xdr:to>
    <xdr:pic>
      <xdr:nvPicPr>
        <xdr:cNvPr id="1" name="Picture 6_4"/>
        <xdr:cNvPicPr preferRelativeResize="1">
          <a:picLocks noChangeAspect="1"/>
        </xdr:cNvPicPr>
      </xdr:nvPicPr>
      <xdr:blipFill>
        <a:blip r:embed="rId1"/>
        <a:stretch>
          <a:fillRect/>
        </a:stretch>
      </xdr:blipFill>
      <xdr:spPr>
        <a:xfrm>
          <a:off x="200025" y="38100"/>
          <a:ext cx="819150" cy="5238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76200</xdr:rowOff>
    </xdr:from>
    <xdr:to>
      <xdr:col>3</xdr:col>
      <xdr:colOff>228600</xdr:colOff>
      <xdr:row>1</xdr:row>
      <xdr:rowOff>38100</xdr:rowOff>
    </xdr:to>
    <xdr:pic>
      <xdr:nvPicPr>
        <xdr:cNvPr id="1" name="Picture 6_5"/>
        <xdr:cNvPicPr preferRelativeResize="1">
          <a:picLocks noChangeAspect="1"/>
        </xdr:cNvPicPr>
      </xdr:nvPicPr>
      <xdr:blipFill>
        <a:blip r:embed="rId1"/>
        <a:stretch>
          <a:fillRect/>
        </a:stretch>
      </xdr:blipFill>
      <xdr:spPr>
        <a:xfrm>
          <a:off x="219075" y="76200"/>
          <a:ext cx="819150" cy="5334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38100</xdr:rowOff>
    </xdr:from>
    <xdr:to>
      <xdr:col>3</xdr:col>
      <xdr:colOff>190500</xdr:colOff>
      <xdr:row>1</xdr:row>
      <xdr:rowOff>19050</xdr:rowOff>
    </xdr:to>
    <xdr:pic>
      <xdr:nvPicPr>
        <xdr:cNvPr id="1" name="Picture 6_6"/>
        <xdr:cNvPicPr preferRelativeResize="1">
          <a:picLocks noChangeAspect="1"/>
        </xdr:cNvPicPr>
      </xdr:nvPicPr>
      <xdr:blipFill>
        <a:blip r:embed="rId1"/>
        <a:stretch>
          <a:fillRect/>
        </a:stretch>
      </xdr:blipFill>
      <xdr:spPr>
        <a:xfrm>
          <a:off x="123825" y="38100"/>
          <a:ext cx="819150" cy="5334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219075</xdr:colOff>
      <xdr:row>1</xdr:row>
      <xdr:rowOff>19050</xdr:rowOff>
    </xdr:to>
    <xdr:pic>
      <xdr:nvPicPr>
        <xdr:cNvPr id="1" name="Picture 6"/>
        <xdr:cNvPicPr preferRelativeResize="1">
          <a:picLocks noChangeAspect="1"/>
        </xdr:cNvPicPr>
      </xdr:nvPicPr>
      <xdr:blipFill>
        <a:blip r:embed="rId1"/>
        <a:stretch>
          <a:fillRect/>
        </a:stretch>
      </xdr:blipFill>
      <xdr:spPr>
        <a:xfrm>
          <a:off x="0" y="0"/>
          <a:ext cx="828675" cy="54292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0</xdr:col>
      <xdr:colOff>1000125</xdr:colOff>
      <xdr:row>1</xdr:row>
      <xdr:rowOff>47625</xdr:rowOff>
    </xdr:to>
    <xdr:pic>
      <xdr:nvPicPr>
        <xdr:cNvPr id="1" name="Picture 6_7"/>
        <xdr:cNvPicPr preferRelativeResize="1">
          <a:picLocks noChangeAspect="1"/>
        </xdr:cNvPicPr>
      </xdr:nvPicPr>
      <xdr:blipFill>
        <a:blip r:embed="rId1"/>
        <a:stretch>
          <a:fillRect/>
        </a:stretch>
      </xdr:blipFill>
      <xdr:spPr>
        <a:xfrm>
          <a:off x="171450" y="76200"/>
          <a:ext cx="838200" cy="5334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12"/>
  </sheetPr>
  <dimension ref="A1:AD38"/>
  <sheetViews>
    <sheetView workbookViewId="0" topLeftCell="A1">
      <selection activeCell="R7" sqref="R7"/>
    </sheetView>
  </sheetViews>
  <sheetFormatPr defaultColWidth="9.140625" defaultRowHeight="12.75"/>
  <cols>
    <col min="1" max="1" width="2.7109375" style="1" customWidth="1"/>
    <col min="2" max="8" width="4.7109375" style="1" customWidth="1"/>
    <col min="9" max="9" width="5.00390625" style="1" customWidth="1"/>
    <col min="10" max="10" width="5.140625" style="1" customWidth="1"/>
    <col min="11" max="12" width="4.7109375" style="1" customWidth="1"/>
    <col min="13" max="13" width="5.140625" style="1" customWidth="1"/>
    <col min="14" max="14" width="4.7109375" style="1" customWidth="1"/>
    <col min="15" max="15" width="6.28125" style="1" customWidth="1"/>
    <col min="16" max="19" width="4.7109375" style="1" customWidth="1"/>
    <col min="20" max="20" width="4.28125" style="1" customWidth="1"/>
    <col min="21" max="21" width="5.7109375" style="1" customWidth="1"/>
    <col min="22" max="22" width="4.7109375" style="1" customWidth="1"/>
    <col min="23" max="26" width="10.7109375" style="1" customWidth="1"/>
    <col min="27" max="27" width="2.00390625" style="1" customWidth="1"/>
    <col min="28" max="16384" width="11.421875" style="1" customWidth="1"/>
  </cols>
  <sheetData>
    <row r="1" spans="1:28" ht="45.75" customHeight="1">
      <c r="A1"/>
      <c r="B1"/>
      <c r="C1" s="2"/>
      <c r="D1" s="2"/>
      <c r="E1"/>
      <c r="F1" s="3" t="s">
        <v>0</v>
      </c>
      <c r="G1"/>
      <c r="H1" s="2"/>
      <c r="I1" s="2"/>
      <c r="J1" s="2"/>
      <c r="K1" s="2"/>
      <c r="L1" s="2"/>
      <c r="M1" s="2"/>
      <c r="N1" s="2"/>
      <c r="O1" s="2"/>
      <c r="P1" s="2"/>
      <c r="Q1" s="2"/>
      <c r="R1" s="2"/>
      <c r="S1" s="2"/>
      <c r="T1" s="2"/>
      <c r="U1"/>
      <c r="V1"/>
      <c r="AB1"/>
    </row>
    <row r="2" spans="1:28" ht="12.75" customHeight="1">
      <c r="A2"/>
      <c r="B2"/>
      <c r="C2" s="2"/>
      <c r="D2" s="2"/>
      <c r="E2"/>
      <c r="F2"/>
      <c r="G2" s="4"/>
      <c r="H2" s="2"/>
      <c r="I2" s="2"/>
      <c r="J2" s="2"/>
      <c r="K2" s="2"/>
      <c r="L2" s="2"/>
      <c r="M2" s="2"/>
      <c r="N2" s="2"/>
      <c r="O2" s="2"/>
      <c r="P2" s="2"/>
      <c r="Q2" s="2"/>
      <c r="R2" s="2"/>
      <c r="S2" s="2"/>
      <c r="T2" s="2"/>
      <c r="U2"/>
      <c r="V2"/>
      <c r="AB2"/>
    </row>
    <row r="3" spans="1:28" ht="15.75">
      <c r="A3" s="5"/>
      <c r="B3" s="6" t="s">
        <v>1</v>
      </c>
      <c r="C3" s="5"/>
      <c r="D3" s="5"/>
      <c r="E3" s="5"/>
      <c r="F3" s="5"/>
      <c r="G3" s="5"/>
      <c r="H3" s="5"/>
      <c r="I3" s="5"/>
      <c r="J3" s="5"/>
      <c r="K3" s="5"/>
      <c r="L3" s="5"/>
      <c r="M3" s="5"/>
      <c r="N3" s="5"/>
      <c r="O3"/>
      <c r="P3"/>
      <c r="Q3"/>
      <c r="R3"/>
      <c r="S3"/>
      <c r="T3"/>
      <c r="U3"/>
      <c r="V3"/>
      <c r="AB3"/>
    </row>
    <row r="4" spans="1:28" ht="7.5" customHeight="1">
      <c r="A4" s="5"/>
      <c r="B4" s="5"/>
      <c r="C4" s="5"/>
      <c r="D4" s="5"/>
      <c r="E4" s="5"/>
      <c r="F4" s="5"/>
      <c r="G4" s="5"/>
      <c r="H4" s="5"/>
      <c r="I4" s="5"/>
      <c r="J4" s="5"/>
      <c r="K4" s="5"/>
      <c r="L4" s="5"/>
      <c r="M4" s="5"/>
      <c r="N4" s="5"/>
      <c r="O4" s="5"/>
      <c r="P4"/>
      <c r="Q4"/>
      <c r="R4"/>
      <c r="S4"/>
      <c r="T4"/>
      <c r="U4"/>
      <c r="V4"/>
      <c r="AB4"/>
    </row>
    <row r="5" spans="1:28" ht="12.75">
      <c r="A5" s="5"/>
      <c r="B5" s="5"/>
      <c r="C5" s="5"/>
      <c r="D5" s="5"/>
      <c r="E5" s="5"/>
      <c r="F5" s="5"/>
      <c r="G5" s="5"/>
      <c r="H5" s="5"/>
      <c r="I5" s="5"/>
      <c r="J5" s="5"/>
      <c r="K5" s="5"/>
      <c r="L5" s="5"/>
      <c r="M5" s="5"/>
      <c r="N5" s="5"/>
      <c r="O5" s="5"/>
      <c r="P5" s="5"/>
      <c r="Q5"/>
      <c r="R5"/>
      <c r="S5"/>
      <c r="T5"/>
      <c r="U5"/>
      <c r="V5"/>
      <c r="AB5"/>
    </row>
    <row r="6" spans="1:30" ht="18" customHeight="1">
      <c r="A6"/>
      <c r="B6" s="7" t="s">
        <v>2</v>
      </c>
      <c r="C6" s="7"/>
      <c r="D6" s="7"/>
      <c r="E6" s="7"/>
      <c r="F6" s="7"/>
      <c r="G6" s="7"/>
      <c r="H6" s="8"/>
      <c r="I6" s="9" t="s">
        <v>3</v>
      </c>
      <c r="J6" s="9"/>
      <c r="K6" s="9"/>
      <c r="L6" s="10"/>
      <c r="M6" s="10"/>
      <c r="N6" s="11"/>
      <c r="O6" s="12" t="s">
        <v>4</v>
      </c>
      <c r="P6" s="12"/>
      <c r="Q6" s="12"/>
      <c r="R6" s="13"/>
      <c r="S6" s="13"/>
      <c r="T6" s="13"/>
      <c r="U6" s="14"/>
      <c r="V6"/>
      <c r="AB6" s="1" t="s">
        <v>5</v>
      </c>
      <c r="AC6" s="1" t="s">
        <v>6</v>
      </c>
      <c r="AD6" s="1" t="s">
        <v>7</v>
      </c>
    </row>
    <row r="7" spans="1:30" ht="18" customHeight="1">
      <c r="A7"/>
      <c r="B7" s="15" t="s">
        <v>8</v>
      </c>
      <c r="C7" s="15"/>
      <c r="D7" s="16"/>
      <c r="E7" s="16"/>
      <c r="F7" s="16"/>
      <c r="G7" s="16"/>
      <c r="H7" s="17" t="s">
        <v>9</v>
      </c>
      <c r="I7" s="10"/>
      <c r="J7" s="10"/>
      <c r="K7" s="10"/>
      <c r="L7" s="10"/>
      <c r="M7" s="10"/>
      <c r="N7"/>
      <c r="O7" s="18" t="s">
        <v>10</v>
      </c>
      <c r="P7" s="18"/>
      <c r="Q7" s="18"/>
      <c r="R7" s="13"/>
      <c r="S7" s="13"/>
      <c r="T7" s="13"/>
      <c r="V7" s="19"/>
      <c r="AB7" s="1" t="s">
        <v>11</v>
      </c>
      <c r="AC7" s="1" t="s">
        <v>12</v>
      </c>
      <c r="AD7" s="1" t="s">
        <v>13</v>
      </c>
    </row>
    <row r="8" spans="1:30" ht="18" customHeight="1">
      <c r="A8"/>
      <c r="B8" s="20" t="s">
        <v>14</v>
      </c>
      <c r="C8" s="20"/>
      <c r="D8" s="10"/>
      <c r="E8" s="10"/>
      <c r="F8" s="10"/>
      <c r="G8" s="10"/>
      <c r="H8" s="10"/>
      <c r="I8" s="10"/>
      <c r="J8" s="10"/>
      <c r="K8" s="10"/>
      <c r="L8" s="10"/>
      <c r="M8" s="10"/>
      <c r="N8"/>
      <c r="O8"/>
      <c r="P8"/>
      <c r="Q8"/>
      <c r="R8"/>
      <c r="S8"/>
      <c r="T8"/>
      <c r="AB8" s="1" t="s">
        <v>15</v>
      </c>
      <c r="AC8" s="1" t="s">
        <v>16</v>
      </c>
      <c r="AD8" s="1" t="s">
        <v>17</v>
      </c>
    </row>
    <row r="9" spans="1:30" ht="18" customHeight="1">
      <c r="A9"/>
      <c r="B9" s="15" t="s">
        <v>18</v>
      </c>
      <c r="C9" s="15"/>
      <c r="D9" s="16"/>
      <c r="E9" s="16"/>
      <c r="F9" s="21" t="s">
        <v>19</v>
      </c>
      <c r="G9" s="10"/>
      <c r="H9" s="10"/>
      <c r="I9" s="10"/>
      <c r="J9" s="10"/>
      <c r="K9" s="10"/>
      <c r="L9" s="10"/>
      <c r="M9" s="10"/>
      <c r="N9"/>
      <c r="O9"/>
      <c r="P9"/>
      <c r="Q9"/>
      <c r="R9"/>
      <c r="S9"/>
      <c r="T9"/>
      <c r="AB9" s="1" t="s">
        <v>20</v>
      </c>
      <c r="AD9" s="1" t="s">
        <v>21</v>
      </c>
    </row>
    <row r="10" spans="1:30" ht="19.5" customHeight="1">
      <c r="A10"/>
      <c r="B10" s="15" t="s">
        <v>22</v>
      </c>
      <c r="C10" s="15"/>
      <c r="D10" s="10"/>
      <c r="E10" s="10"/>
      <c r="F10" s="10"/>
      <c r="G10" s="10"/>
      <c r="H10" s="10"/>
      <c r="I10" s="10"/>
      <c r="J10" s="10"/>
      <c r="K10" s="10"/>
      <c r="L10" s="10"/>
      <c r="M10" s="10"/>
      <c r="N10"/>
      <c r="O10"/>
      <c r="P10"/>
      <c r="Q10"/>
      <c r="R10"/>
      <c r="S10"/>
      <c r="T10"/>
      <c r="AD10" s="1" t="s">
        <v>23</v>
      </c>
    </row>
    <row r="11" spans="1:30" ht="19.5" customHeight="1">
      <c r="A11"/>
      <c r="B11" s="22"/>
      <c r="C11" s="23"/>
      <c r="D11" s="24"/>
      <c r="E11" s="24"/>
      <c r="F11" s="24"/>
      <c r="G11" s="24"/>
      <c r="H11" s="24"/>
      <c r="I11" s="24"/>
      <c r="J11" s="24"/>
      <c r="K11" s="24"/>
      <c r="L11" s="25"/>
      <c r="M11" s="26"/>
      <c r="N11"/>
      <c r="O11"/>
      <c r="P11"/>
      <c r="Q11"/>
      <c r="R11"/>
      <c r="S11"/>
      <c r="T11"/>
      <c r="AD11" s="1" t="s">
        <v>24</v>
      </c>
    </row>
    <row r="12" spans="1:20" ht="14.25" customHeight="1">
      <c r="A12"/>
      <c r="B12" s="27" t="s">
        <v>25</v>
      </c>
      <c r="C12" s="27"/>
      <c r="D12" s="10"/>
      <c r="E12" s="10"/>
      <c r="F12" s="10"/>
      <c r="G12" s="10"/>
      <c r="H12" s="10"/>
      <c r="I12" s="10"/>
      <c r="J12" s="10"/>
      <c r="K12" s="28"/>
      <c r="L12" s="28"/>
      <c r="M12" s="28"/>
      <c r="N12"/>
      <c r="O12" s="27" t="s">
        <v>26</v>
      </c>
      <c r="P12" s="27"/>
      <c r="Q12" s="29"/>
      <c r="R12" s="29"/>
      <c r="S12" s="29"/>
      <c r="T12" s="29"/>
    </row>
    <row r="13" spans="1:20" ht="14.25" customHeight="1">
      <c r="A13"/>
      <c r="B13" s="27" t="s">
        <v>27</v>
      </c>
      <c r="C13" s="27"/>
      <c r="D13" s="10"/>
      <c r="E13" s="10"/>
      <c r="F13" s="10"/>
      <c r="G13" s="10"/>
      <c r="H13" s="10"/>
      <c r="I13" s="10"/>
      <c r="J13" s="10"/>
      <c r="K13" s="24"/>
      <c r="L13" s="25"/>
      <c r="M13" s="26"/>
      <c r="N13"/>
      <c r="O13"/>
      <c r="P13"/>
      <c r="Q13"/>
      <c r="R13"/>
      <c r="S13"/>
      <c r="T13"/>
    </row>
    <row r="14" spans="1:20" ht="12.75">
      <c r="A14" s="5"/>
      <c r="B14" s="5"/>
      <c r="C14" s="5"/>
      <c r="D14" s="5"/>
      <c r="E14" s="5"/>
      <c r="F14" s="5"/>
      <c r="G14" s="5"/>
      <c r="H14" s="5"/>
      <c r="I14" s="5"/>
      <c r="J14" s="5"/>
      <c r="K14" s="5"/>
      <c r="L14" s="5"/>
      <c r="M14" s="5"/>
      <c r="N14" s="5"/>
      <c r="O14" s="5"/>
      <c r="P14" s="5"/>
      <c r="Q14"/>
      <c r="R14"/>
      <c r="S14"/>
      <c r="T14"/>
    </row>
    <row r="15" spans="1:20" ht="14.25">
      <c r="A15" s="5"/>
      <c r="B15" s="30" t="s">
        <v>28</v>
      </c>
      <c r="C15" s="30"/>
      <c r="D15" s="30"/>
      <c r="E15" s="30"/>
      <c r="F15" s="30"/>
      <c r="G15" s="30"/>
      <c r="H15" s="30"/>
      <c r="I15" s="30"/>
      <c r="J15" s="31"/>
      <c r="K15" s="31"/>
      <c r="L15" s="31"/>
      <c r="M15" s="31"/>
      <c r="N15" s="31"/>
      <c r="O15" s="31"/>
      <c r="P15" s="31"/>
      <c r="Q15"/>
      <c r="R15"/>
      <c r="S15"/>
      <c r="T15"/>
    </row>
    <row r="16" spans="1:20" ht="14.25">
      <c r="A16" s="5"/>
      <c r="B16" s="5"/>
      <c r="C16" s="5"/>
      <c r="D16" s="5"/>
      <c r="E16" s="5"/>
      <c r="F16" s="5"/>
      <c r="G16" s="5"/>
      <c r="H16" s="5"/>
      <c r="I16" s="5"/>
      <c r="J16" s="5"/>
      <c r="K16" s="5"/>
      <c r="L16" s="5"/>
      <c r="M16" s="5"/>
      <c r="N16" s="5"/>
      <c r="O16" s="5"/>
      <c r="P16" s="5"/>
      <c r="Q16"/>
      <c r="R16"/>
      <c r="S16"/>
      <c r="T16"/>
    </row>
    <row r="17" spans="1:20" ht="12.75">
      <c r="A17" s="5"/>
      <c r="B17" s="32" t="s">
        <v>29</v>
      </c>
      <c r="C17" s="5"/>
      <c r="D17" s="5"/>
      <c r="E17" s="5"/>
      <c r="F17" s="5"/>
      <c r="G17" s="5"/>
      <c r="H17" s="5"/>
      <c r="I17" s="5"/>
      <c r="J17" s="5"/>
      <c r="K17" s="5"/>
      <c r="L17" s="5"/>
      <c r="M17" s="5"/>
      <c r="N17" s="5"/>
      <c r="O17"/>
      <c r="P17"/>
      <c r="Q17"/>
      <c r="R17"/>
      <c r="S17"/>
      <c r="T17"/>
    </row>
    <row r="18" spans="1:20" ht="12.75" customHeight="1">
      <c r="A18" s="5"/>
      <c r="B18" s="33"/>
      <c r="C18" s="33"/>
      <c r="D18" s="33"/>
      <c r="E18" s="33"/>
      <c r="F18" s="33"/>
      <c r="G18" s="33"/>
      <c r="H18" s="33"/>
      <c r="I18" s="33"/>
      <c r="J18" s="33"/>
      <c r="K18" s="33"/>
      <c r="L18" s="33"/>
      <c r="M18" s="33"/>
      <c r="N18" s="33"/>
      <c r="O18" s="33"/>
      <c r="P18" s="33"/>
      <c r="Q18" s="33"/>
      <c r="R18" s="33"/>
      <c r="S18" s="33"/>
      <c r="T18" s="33"/>
    </row>
    <row r="19" spans="1:20" ht="12.75">
      <c r="A19" s="5"/>
      <c r="B19" s="33"/>
      <c r="C19" s="33"/>
      <c r="D19" s="33"/>
      <c r="E19" s="33"/>
      <c r="F19" s="33"/>
      <c r="G19" s="33"/>
      <c r="H19" s="33"/>
      <c r="I19" s="33"/>
      <c r="J19" s="33"/>
      <c r="K19" s="33"/>
      <c r="L19" s="33"/>
      <c r="M19" s="33"/>
      <c r="N19" s="33"/>
      <c r="O19" s="33"/>
      <c r="P19" s="33"/>
      <c r="Q19" s="33"/>
      <c r="R19" s="33"/>
      <c r="S19" s="33"/>
      <c r="T19" s="33"/>
    </row>
    <row r="20" spans="1:16" ht="12.75">
      <c r="A20" s="5"/>
      <c r="B20" s="5"/>
      <c r="C20" s="5"/>
      <c r="D20" s="5"/>
      <c r="E20" s="5"/>
      <c r="F20" s="5"/>
      <c r="G20" s="5"/>
      <c r="H20" s="5"/>
      <c r="I20" s="5"/>
      <c r="J20" s="5"/>
      <c r="K20" s="5"/>
      <c r="L20" s="5"/>
      <c r="M20" s="5"/>
      <c r="N20" s="5"/>
      <c r="O20" s="5"/>
      <c r="P20" s="5"/>
    </row>
    <row r="21" spans="1:16" ht="12.75">
      <c r="A21" s="5"/>
      <c r="B21" s="5"/>
      <c r="C21" s="5"/>
      <c r="D21" s="5"/>
      <c r="E21" s="5"/>
      <c r="F21" s="5"/>
      <c r="G21" s="5"/>
      <c r="H21" s="5"/>
      <c r="I21" s="5"/>
      <c r="J21" s="5"/>
      <c r="K21" s="5"/>
      <c r="L21" s="5"/>
      <c r="M21" s="5"/>
      <c r="N21" s="5"/>
      <c r="O21" s="5"/>
      <c r="P21" s="5"/>
    </row>
    <row r="22" spans="1:16" ht="12.75">
      <c r="A22" s="5"/>
      <c r="B22" s="5"/>
      <c r="C22" s="5"/>
      <c r="D22" s="5"/>
      <c r="E22" s="5"/>
      <c r="F22" s="5"/>
      <c r="G22" s="5"/>
      <c r="H22" s="5"/>
      <c r="I22" s="5"/>
      <c r="J22" s="5"/>
      <c r="K22" s="5"/>
      <c r="L22" s="5"/>
      <c r="M22" s="5"/>
      <c r="N22" s="5"/>
      <c r="O22" s="5"/>
      <c r="P22" s="5"/>
    </row>
    <row r="23" spans="1:16" ht="12.75">
      <c r="A23" s="5"/>
      <c r="B23" s="5"/>
      <c r="C23" s="5"/>
      <c r="D23" s="5"/>
      <c r="E23" s="5"/>
      <c r="F23" s="5"/>
      <c r="G23" s="5"/>
      <c r="H23" s="5"/>
      <c r="I23" s="5"/>
      <c r="J23" s="5"/>
      <c r="K23" s="5"/>
      <c r="L23" s="5"/>
      <c r="M23" s="5"/>
      <c r="N23" s="5"/>
      <c r="O23" s="5"/>
      <c r="P23" s="5"/>
    </row>
    <row r="24" spans="1:16" ht="12.75">
      <c r="A24" s="5"/>
      <c r="B24" s="5"/>
      <c r="C24" s="5"/>
      <c r="D24" s="5"/>
      <c r="E24" s="5"/>
      <c r="F24" s="5"/>
      <c r="G24" s="5"/>
      <c r="H24" s="5"/>
      <c r="I24" s="5"/>
      <c r="J24" s="5"/>
      <c r="K24" s="5"/>
      <c r="L24" s="5"/>
      <c r="M24" s="5"/>
      <c r="N24" s="5"/>
      <c r="O24" s="5"/>
      <c r="P24" s="5"/>
    </row>
    <row r="25" spans="1:16" ht="12.75">
      <c r="A25" s="5"/>
      <c r="B25" s="5"/>
      <c r="C25" s="5"/>
      <c r="D25" s="5"/>
      <c r="E25" s="5"/>
      <c r="F25" s="5"/>
      <c r="G25" s="5"/>
      <c r="H25" s="5"/>
      <c r="I25" s="5"/>
      <c r="J25" s="5"/>
      <c r="K25" s="5"/>
      <c r="L25" s="5"/>
      <c r="M25" s="5"/>
      <c r="N25" s="5"/>
      <c r="O25" s="5"/>
      <c r="P25" s="5"/>
    </row>
    <row r="26" spans="1:16" ht="12.75">
      <c r="A26" s="5"/>
      <c r="B26" s="5"/>
      <c r="C26" s="5"/>
      <c r="D26" s="5"/>
      <c r="E26" s="5"/>
      <c r="F26" s="5"/>
      <c r="G26" s="5"/>
      <c r="H26" s="5"/>
      <c r="I26" s="5"/>
      <c r="J26" s="5"/>
      <c r="K26" s="5"/>
      <c r="L26" s="5"/>
      <c r="M26" s="5"/>
      <c r="N26" s="5"/>
      <c r="O26" s="5"/>
      <c r="P26" s="5"/>
    </row>
    <row r="27" spans="1:16" ht="12.75">
      <c r="A27" s="5"/>
      <c r="B27" s="5"/>
      <c r="C27" s="5"/>
      <c r="D27" s="5"/>
      <c r="E27" s="5"/>
      <c r="F27" s="5"/>
      <c r="G27" s="5"/>
      <c r="H27" s="5"/>
      <c r="I27" s="5"/>
      <c r="J27" s="5"/>
      <c r="K27" s="5"/>
      <c r="L27" s="5"/>
      <c r="M27" s="5"/>
      <c r="N27" s="5"/>
      <c r="O27" s="5"/>
      <c r="P27" s="5"/>
    </row>
    <row r="28" spans="1:16" ht="12.75">
      <c r="A28" s="5"/>
      <c r="B28"/>
      <c r="C28" s="5"/>
      <c r="D28" s="5"/>
      <c r="E28" s="5"/>
      <c r="F28" s="5"/>
      <c r="G28" s="5"/>
      <c r="H28" s="5"/>
      <c r="I28" s="5"/>
      <c r="J28" s="5"/>
      <c r="K28" s="5"/>
      <c r="L28" s="5"/>
      <c r="M28" s="5"/>
      <c r="N28" s="5"/>
      <c r="O28" s="5"/>
      <c r="P28" s="5"/>
    </row>
    <row r="29" spans="1:16" ht="12.75">
      <c r="A29" s="5"/>
      <c r="B29"/>
      <c r="C29" s="5"/>
      <c r="D29" s="5"/>
      <c r="E29" s="5"/>
      <c r="F29" s="5"/>
      <c r="G29" s="5"/>
      <c r="H29" s="5"/>
      <c r="I29" s="5"/>
      <c r="J29" s="5"/>
      <c r="K29" s="5"/>
      <c r="L29" s="5"/>
      <c r="M29" s="5"/>
      <c r="N29" s="5"/>
      <c r="O29" s="5"/>
      <c r="P29" s="5"/>
    </row>
    <row r="30" spans="1:16" ht="12.75">
      <c r="A30" s="5"/>
      <c r="B30"/>
      <c r="C30" s="5"/>
      <c r="D30" s="5"/>
      <c r="E30" s="5"/>
      <c r="F30" s="5"/>
      <c r="G30" s="5"/>
      <c r="H30" s="5"/>
      <c r="I30" s="5"/>
      <c r="J30" s="5"/>
      <c r="K30" s="5"/>
      <c r="L30" s="5"/>
      <c r="M30" s="5"/>
      <c r="N30" s="5"/>
      <c r="O30" s="5"/>
      <c r="P30" s="5"/>
    </row>
    <row r="31" spans="1:16" ht="12.75">
      <c r="A31" s="5"/>
      <c r="B31" s="5"/>
      <c r="C31" s="5"/>
      <c r="D31" s="5"/>
      <c r="E31" s="5"/>
      <c r="F31" s="5"/>
      <c r="G31" s="5"/>
      <c r="H31" s="5"/>
      <c r="I31" s="5"/>
      <c r="J31" s="5"/>
      <c r="K31" s="5"/>
      <c r="L31" s="5"/>
      <c r="M31" s="5"/>
      <c r="N31" s="5"/>
      <c r="O31" s="5"/>
      <c r="P31" s="5"/>
    </row>
    <row r="32" spans="1:16" ht="12.75">
      <c r="A32" s="5"/>
      <c r="B32" s="5"/>
      <c r="C32" s="5"/>
      <c r="D32" s="5"/>
      <c r="E32" s="5"/>
      <c r="F32" s="5"/>
      <c r="G32" s="5"/>
      <c r="H32" s="5"/>
      <c r="I32" s="5"/>
      <c r="J32" s="5"/>
      <c r="K32" s="5"/>
      <c r="L32" s="5"/>
      <c r="M32" s="5"/>
      <c r="N32" s="5"/>
      <c r="O32" s="5"/>
      <c r="P32" s="5"/>
    </row>
    <row r="33" spans="1:16" ht="12.75">
      <c r="A33" s="5"/>
      <c r="B33" s="5"/>
      <c r="C33" s="5"/>
      <c r="D33" s="5"/>
      <c r="E33" s="5"/>
      <c r="F33" s="5"/>
      <c r="G33" s="5"/>
      <c r="H33" s="5"/>
      <c r="I33" s="5"/>
      <c r="J33" s="5"/>
      <c r="K33" s="5"/>
      <c r="L33" s="5"/>
      <c r="M33" s="5"/>
      <c r="N33" s="5"/>
      <c r="O33" s="5"/>
      <c r="P33" s="5"/>
    </row>
    <row r="34" spans="1:16" ht="12.75">
      <c r="A34" s="5"/>
      <c r="B34" s="5"/>
      <c r="C34" s="5"/>
      <c r="D34" s="5"/>
      <c r="E34" s="5"/>
      <c r="F34" s="5"/>
      <c r="G34" s="5"/>
      <c r="H34" s="5"/>
      <c r="I34" s="5"/>
      <c r="J34" s="5"/>
      <c r="K34" s="5"/>
      <c r="L34" s="5"/>
      <c r="M34" s="5"/>
      <c r="N34" s="5"/>
      <c r="O34" s="5"/>
      <c r="P34" s="5"/>
    </row>
    <row r="35" spans="1:16" ht="12.75">
      <c r="A35" s="5"/>
      <c r="B35" s="5"/>
      <c r="C35" s="5"/>
      <c r="D35" s="5"/>
      <c r="E35" s="5"/>
      <c r="F35" s="5"/>
      <c r="G35" s="5"/>
      <c r="H35" s="5"/>
      <c r="I35" s="5"/>
      <c r="J35" s="5"/>
      <c r="K35" s="5"/>
      <c r="L35" s="5"/>
      <c r="M35" s="5"/>
      <c r="N35" s="5"/>
      <c r="O35" s="5"/>
      <c r="P35" s="5"/>
    </row>
    <row r="36" spans="1:16" ht="12.75">
      <c r="A36" s="5"/>
      <c r="B36" s="5"/>
      <c r="C36" s="5"/>
      <c r="D36" s="5"/>
      <c r="E36" s="5"/>
      <c r="F36" s="5"/>
      <c r="G36" s="5"/>
      <c r="H36" s="5"/>
      <c r="I36" s="5"/>
      <c r="J36" s="5"/>
      <c r="K36" s="5"/>
      <c r="L36" s="5"/>
      <c r="M36" s="5"/>
      <c r="N36" s="5"/>
      <c r="O36" s="5"/>
      <c r="P36" s="5"/>
    </row>
    <row r="37" spans="1:16" ht="12.75">
      <c r="A37" s="5"/>
      <c r="B37" s="5"/>
      <c r="C37" s="5"/>
      <c r="D37" s="5"/>
      <c r="E37" s="5"/>
      <c r="F37" s="5"/>
      <c r="G37" s="5"/>
      <c r="H37" s="5"/>
      <c r="I37" s="5"/>
      <c r="J37" s="5"/>
      <c r="K37" s="5"/>
      <c r="L37" s="5"/>
      <c r="M37" s="5"/>
      <c r="N37" s="5"/>
      <c r="O37" s="5"/>
      <c r="P37" s="5"/>
    </row>
    <row r="38" spans="1:16" ht="14.25">
      <c r="A38" s="5"/>
      <c r="B38" s="5"/>
      <c r="C38" s="5"/>
      <c r="D38" s="5"/>
      <c r="E38" s="5"/>
      <c r="F38" s="5"/>
      <c r="G38" s="5"/>
      <c r="H38" s="5"/>
      <c r="I38" s="5"/>
      <c r="J38" s="5"/>
      <c r="K38" s="5"/>
      <c r="L38" s="5"/>
      <c r="M38" s="5"/>
      <c r="N38" s="5"/>
      <c r="O38" s="5"/>
      <c r="P38" s="5"/>
    </row>
  </sheetData>
  <sheetProtection selectLockedCells="1" selectUnlockedCells="1"/>
  <mergeCells count="26">
    <mergeCell ref="B6:G6"/>
    <mergeCell ref="I6:K6"/>
    <mergeCell ref="L6:M6"/>
    <mergeCell ref="O6:Q6"/>
    <mergeCell ref="R6:T6"/>
    <mergeCell ref="B7:C7"/>
    <mergeCell ref="D7:G7"/>
    <mergeCell ref="I7:M7"/>
    <mergeCell ref="O7:Q7"/>
    <mergeCell ref="R7:T7"/>
    <mergeCell ref="B8:C8"/>
    <mergeCell ref="D8:M8"/>
    <mergeCell ref="B9:C9"/>
    <mergeCell ref="D9:E9"/>
    <mergeCell ref="G9:M9"/>
    <mergeCell ref="B10:C10"/>
    <mergeCell ref="D10:M10"/>
    <mergeCell ref="B12:C12"/>
    <mergeCell ref="D12:J12"/>
    <mergeCell ref="O12:P12"/>
    <mergeCell ref="Q12:T12"/>
    <mergeCell ref="B13:C13"/>
    <mergeCell ref="D13:J13"/>
    <mergeCell ref="B15:I15"/>
    <mergeCell ref="J15:P15"/>
    <mergeCell ref="B18:T19"/>
  </mergeCells>
  <conditionalFormatting sqref="Q12">
    <cfRule type="cellIs" priority="1" dxfId="0" operator="equal" stopIfTrue="1">
      <formula>"x"</formula>
    </cfRule>
  </conditionalFormatting>
  <dataValidations count="4">
    <dataValidation allowBlank="1" showInputMessage="1" showErrorMessage="1" prompt="Please insert here if there is something special to know, e.g. how to find the flat (building in the back, special entrance, ...)" sqref="B18">
      <formula1>0</formula1>
      <formula2>0</formula2>
    </dataValidation>
    <dataValidation type="list" allowBlank="1" showErrorMessage="1" sqref="L6:M6">
      <formula1>$AB$5:$AB$9</formula1>
      <formula2>0</formula2>
    </dataValidation>
    <dataValidation type="list" allowBlank="1" showErrorMessage="1" sqref="R7:T7">
      <formula1>$AC$6:$AC$8</formula1>
      <formula2>0</formula2>
    </dataValidation>
    <dataValidation type="list" allowBlank="1" showErrorMessage="1" sqref="J15:P15">
      <formula1>$AD$6:$AD$11</formula1>
      <formula2>0</formula2>
    </dataValidation>
  </dataValidations>
  <printOptions/>
  <pageMargins left="0.7875" right="0.7875" top="0.9840277777777777" bottom="0.9840277777777777" header="0.5118055555555555" footer="0.5118055555555555"/>
  <pageSetup horizontalDpi="300" verticalDpi="300" orientation="portrait" paperSize="9"/>
  <colBreaks count="1" manualBreakCount="1">
    <brk id="22" max="65535" man="1"/>
  </colBreaks>
  <drawing r:id="rId1"/>
</worksheet>
</file>

<file path=xl/worksheets/sheet10.xml><?xml version="1.0" encoding="utf-8"?>
<worksheet xmlns="http://schemas.openxmlformats.org/spreadsheetml/2006/main" xmlns:r="http://schemas.openxmlformats.org/officeDocument/2006/relationships">
  <sheetPr>
    <tabColor indexed="17"/>
  </sheetPr>
  <dimension ref="A1:IV303"/>
  <sheetViews>
    <sheetView workbookViewId="0" topLeftCell="A1">
      <selection activeCell="D9" sqref="D9"/>
    </sheetView>
  </sheetViews>
  <sheetFormatPr defaultColWidth="9.140625" defaultRowHeight="12.75"/>
  <cols>
    <col min="1" max="1" width="0.71875" style="1" customWidth="1"/>
    <col min="2" max="2" width="4.140625" style="1" customWidth="1"/>
    <col min="3" max="3" width="4.7109375" style="1" customWidth="1"/>
    <col min="4" max="4" width="6.8515625" style="1" customWidth="1"/>
    <col min="5" max="5" width="3.140625" style="1" customWidth="1"/>
    <col min="6" max="6" width="5.28125" style="1" customWidth="1"/>
    <col min="7" max="7" width="6.8515625" style="1" customWidth="1"/>
    <col min="8" max="8" width="4.7109375" style="1" customWidth="1"/>
    <col min="9" max="9" width="4.8515625" style="1" customWidth="1"/>
    <col min="10" max="10" width="4.7109375" style="1" customWidth="1"/>
    <col min="11" max="11" width="4.421875" style="1" customWidth="1"/>
    <col min="12" max="12" width="4.28125" style="1" customWidth="1"/>
    <col min="13" max="13" width="6.28125" style="1" customWidth="1"/>
    <col min="14" max="14" width="5.00390625" style="1" customWidth="1"/>
    <col min="15" max="15" width="5.140625" style="1" customWidth="1"/>
    <col min="16" max="16" width="6.00390625" style="1" customWidth="1"/>
    <col min="17" max="17" width="4.28125" style="1" customWidth="1"/>
    <col min="18" max="19" width="4.7109375" style="1" customWidth="1"/>
    <col min="20" max="20" width="4.421875" style="1" customWidth="1"/>
    <col min="21" max="21" width="4.28125" style="1" customWidth="1"/>
    <col min="22" max="22" width="4.7109375" style="1" customWidth="1"/>
    <col min="23" max="26" width="10.7109375" style="1" customWidth="1"/>
    <col min="27" max="27" width="2.00390625" style="1" customWidth="1"/>
    <col min="28" max="16384" width="11.421875" style="1" customWidth="1"/>
  </cols>
  <sheetData>
    <row r="1" spans="1:19" s="11" customFormat="1" ht="6" customHeight="1">
      <c r="A1" s="540"/>
      <c r="B1" s="94"/>
      <c r="C1" s="94"/>
      <c r="D1" s="94"/>
      <c r="E1" s="94"/>
      <c r="F1" s="94"/>
      <c r="G1" s="94"/>
      <c r="H1" s="94"/>
      <c r="I1" s="94"/>
      <c r="J1" s="94"/>
      <c r="K1" s="94"/>
      <c r="L1" s="45"/>
      <c r="M1" s="45"/>
      <c r="N1" s="94"/>
      <c r="O1" s="94"/>
      <c r="P1" s="94"/>
      <c r="S1" s="64"/>
    </row>
    <row r="2" spans="1:256" ht="4.5" customHeight="1">
      <c r="A2" s="94"/>
      <c r="B2" s="94"/>
      <c r="C2" s="94"/>
      <c r="D2" s="94"/>
      <c r="E2" s="94"/>
      <c r="F2" s="94"/>
      <c r="G2" s="94"/>
      <c r="H2" s="94"/>
      <c r="I2" s="94"/>
      <c r="J2" s="94"/>
      <c r="K2" s="94"/>
      <c r="L2" s="45"/>
      <c r="M2" s="45"/>
      <c r="N2" s="94"/>
      <c r="O2" s="94"/>
      <c r="P2" s="94"/>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75">
      <c r="A3" s="540"/>
      <c r="B3" s="378"/>
      <c r="C3" s="714"/>
      <c r="D3" s="714"/>
      <c r="E3" s="714"/>
      <c r="F3" s="714"/>
      <c r="G3" s="714"/>
      <c r="H3" s="714"/>
      <c r="I3" s="714"/>
      <c r="J3" s="714"/>
      <c r="K3" s="714"/>
      <c r="L3" s="714"/>
      <c r="M3" s="714"/>
      <c r="N3" s="714"/>
      <c r="O3" s="714"/>
      <c r="P3" s="714"/>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540"/>
      <c r="B4" s="378"/>
      <c r="C4" s="714"/>
      <c r="D4" s="714"/>
      <c r="E4" s="714"/>
      <c r="F4" s="714"/>
      <c r="G4" s="714"/>
      <c r="H4" s="714"/>
      <c r="I4" s="714"/>
      <c r="J4" s="714"/>
      <c r="K4" s="714"/>
      <c r="L4" s="714"/>
      <c r="M4" s="714"/>
      <c r="N4" s="714"/>
      <c r="O4" s="714"/>
      <c r="P4" s="714"/>
      <c r="Q4"/>
      <c r="R4"/>
      <c r="S4"/>
      <c r="T4"/>
      <c r="U4"/>
      <c r="V4"/>
      <c r="W4"/>
      <c r="X4"/>
      <c r="Y4"/>
      <c r="Z4"/>
      <c r="AA4"/>
      <c r="AB4" s="715"/>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s="540"/>
      <c r="B5" s="378"/>
      <c r="C5" s="714"/>
      <c r="D5" s="714"/>
      <c r="E5" s="714"/>
      <c r="F5" s="714"/>
      <c r="G5" s="714"/>
      <c r="H5" s="714"/>
      <c r="I5"/>
      <c r="J5" s="714"/>
      <c r="K5" s="714"/>
      <c r="L5" s="714"/>
      <c r="M5" s="714"/>
      <c r="N5" s="714"/>
      <c r="O5" s="714"/>
      <c r="P5" s="714"/>
      <c r="Q5"/>
      <c r="R5"/>
      <c r="S5"/>
      <c r="T5"/>
      <c r="U5"/>
      <c r="V5"/>
      <c r="W5"/>
      <c r="X5"/>
      <c r="Y5"/>
      <c r="Z5"/>
      <c r="AA5"/>
      <c r="AB5" s="52"/>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540"/>
      <c r="B6" s="56"/>
      <c r="C6" s="56"/>
      <c r="D6" s="56"/>
      <c r="E6" s="56"/>
      <c r="F6" s="56"/>
      <c r="G6" s="56"/>
      <c r="H6" s="56"/>
      <c r="I6" s="56"/>
      <c r="J6" s="56"/>
      <c r="K6" s="56"/>
      <c r="L6" s="56"/>
      <c r="M6" s="56"/>
      <c r="N6" s="56"/>
      <c r="O6" s="56"/>
      <c r="P6" s="56"/>
      <c r="Q6"/>
      <c r="R6"/>
      <c r="S6"/>
      <c r="T6"/>
      <c r="U6"/>
      <c r="V6"/>
      <c r="W6"/>
      <c r="X6"/>
      <c r="Y6"/>
      <c r="Z6"/>
      <c r="AA6"/>
      <c r="AB6" s="52"/>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 r="A7" s="540"/>
      <c r="B7" s="56"/>
      <c r="C7" s="56"/>
      <c r="D7" s="56"/>
      <c r="E7" s="56"/>
      <c r="F7" s="56"/>
      <c r="G7" s="56"/>
      <c r="H7" s="56"/>
      <c r="I7" s="245" t="s">
        <v>644</v>
      </c>
      <c r="J7" s="56"/>
      <c r="K7" s="56"/>
      <c r="L7" s="56"/>
      <c r="M7" s="56"/>
      <c r="N7" s="56"/>
      <c r="O7" s="56"/>
      <c r="P7" s="56"/>
      <c r="Q7"/>
      <c r="R7"/>
      <c r="S7"/>
      <c r="T7"/>
      <c r="U7"/>
      <c r="V7"/>
      <c r="W7"/>
      <c r="X7"/>
      <c r="Y7"/>
      <c r="Z7"/>
      <c r="AA7"/>
      <c r="AB7" s="56"/>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540"/>
      <c r="B8" s="56"/>
      <c r="C8" s="56"/>
      <c r="D8" s="56"/>
      <c r="E8" s="56"/>
      <c r="F8" s="56"/>
      <c r="G8" s="56"/>
      <c r="H8" s="56"/>
      <c r="I8" s="245" t="s">
        <v>645</v>
      </c>
      <c r="J8" s="56"/>
      <c r="K8" s="56"/>
      <c r="L8" s="56"/>
      <c r="M8" s="56"/>
      <c r="N8" s="56"/>
      <c r="O8" s="56"/>
      <c r="P8" s="56"/>
      <c r="Q8"/>
      <c r="R8"/>
      <c r="S8"/>
      <c r="T8"/>
      <c r="U8"/>
      <c r="V8"/>
      <c r="W8"/>
      <c r="X8"/>
      <c r="Y8"/>
      <c r="Z8"/>
      <c r="AA8"/>
      <c r="AB8" s="52"/>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9.75" customHeight="1">
      <c r="A9" s="540"/>
      <c r="B9" s="56"/>
      <c r="C9" s="56"/>
      <c r="D9" s="56"/>
      <c r="E9" s="56"/>
      <c r="F9" s="56"/>
      <c r="G9" s="56"/>
      <c r="H9" s="56"/>
      <c r="I9" s="56"/>
      <c r="J9" s="56"/>
      <c r="K9" s="56"/>
      <c r="L9" s="56"/>
      <c r="M9" s="56"/>
      <c r="N9" s="56"/>
      <c r="O9" s="56"/>
      <c r="P9" s="56"/>
      <c r="Q9"/>
      <c r="R9"/>
      <c r="S9"/>
      <c r="T9"/>
      <c r="U9"/>
      <c r="V9"/>
      <c r="W9"/>
      <c r="X9"/>
      <c r="Y9"/>
      <c r="Z9"/>
      <c r="AA9"/>
      <c r="AB9" s="56"/>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540"/>
      <c r="B10" s="109"/>
      <c r="C10" s="109"/>
      <c r="D10" s="109"/>
      <c r="E10" s="109"/>
      <c r="F10" s="109"/>
      <c r="G10" s="109"/>
      <c r="H10" s="109"/>
      <c r="I10" s="109"/>
      <c r="J10" s="109"/>
      <c r="K10" s="109"/>
      <c r="L10" s="109"/>
      <c r="M10" s="109"/>
      <c r="N10" s="56"/>
      <c r="O10" s="56"/>
      <c r="P10" s="716" t="s">
        <v>646</v>
      </c>
      <c r="Q10" s="716"/>
      <c r="R10" s="716"/>
      <c r="S10"/>
      <c r="T10"/>
      <c r="U10"/>
      <c r="V10"/>
      <c r="W10"/>
      <c r="X10"/>
      <c r="Y10"/>
      <c r="Z10"/>
      <c r="AA10"/>
      <c r="AB10" s="52"/>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540"/>
      <c r="B11" s="56"/>
      <c r="C11" s="56"/>
      <c r="D11" s="56"/>
      <c r="E11" s="56"/>
      <c r="F11" s="56"/>
      <c r="G11" s="56"/>
      <c r="H11" s="56"/>
      <c r="I11" s="56"/>
      <c r="J11" s="56"/>
      <c r="K11" s="56"/>
      <c r="L11" s="56"/>
      <c r="M11"/>
      <c r="N11" s="56"/>
      <c r="O11" s="56"/>
      <c r="P11" s="717"/>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540"/>
      <c r="B12" s="718">
        <f>CONCATENATE('Name+Adress'!D7," ",'Name+Adress'!I7)</f>
        <v>0</v>
      </c>
      <c r="C12" s="718"/>
      <c r="D12" s="718"/>
      <c r="E12" s="718"/>
      <c r="F12" s="718"/>
      <c r="G12" s="56"/>
      <c r="H12" s="56"/>
      <c r="I12" s="56"/>
      <c r="J12" s="56"/>
      <c r="K12" s="56"/>
      <c r="L12" s="56"/>
      <c r="M12"/>
      <c r="N12" s="56"/>
      <c r="O12" s="56"/>
      <c r="P12" s="717"/>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540"/>
      <c r="B13" s="718">
        <f>'Name+Adress'!D8</f>
        <v>0</v>
      </c>
      <c r="C13" s="718"/>
      <c r="D13" s="718"/>
      <c r="E13" s="718"/>
      <c r="F13" s="718"/>
      <c r="G13" s="56"/>
      <c r="H13" s="56"/>
      <c r="I13" s="56"/>
      <c r="J13" s="56"/>
      <c r="K13" s="56"/>
      <c r="L13" s="56"/>
      <c r="M13"/>
      <c r="N13" s="56"/>
      <c r="O13" s="56"/>
      <c r="P13" s="719"/>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540"/>
      <c r="B14" s="720"/>
      <c r="C14" s="720"/>
      <c r="D14" s="720"/>
      <c r="E14" s="720"/>
      <c r="F14" s="721"/>
      <c r="G14" s="722"/>
      <c r="H14" s="722"/>
      <c r="I14" s="722"/>
      <c r="J14" s="722"/>
      <c r="K14" s="56"/>
      <c r="L14" s="56"/>
      <c r="M14"/>
      <c r="N14" s="56"/>
      <c r="O14" s="56"/>
      <c r="P14" s="723"/>
      <c r="Q14"/>
      <c r="R14"/>
      <c r="S14"/>
      <c r="T14"/>
      <c r="U14"/>
      <c r="V14"/>
      <c r="W14"/>
      <c r="X14"/>
      <c r="Y14"/>
      <c r="Z14" s="72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 r="A15" s="540"/>
      <c r="B15" s="718">
        <f>CONCATENATE('Name+Adress'!D9," ",'Name+Adress'!G9)</f>
        <v>0</v>
      </c>
      <c r="C15" s="718"/>
      <c r="D15" s="718"/>
      <c r="E15" s="718"/>
      <c r="F15" s="718"/>
      <c r="G15" s="722"/>
      <c r="H15" s="722"/>
      <c r="I15" s="722"/>
      <c r="J15" s="722"/>
      <c r="K15" s="725"/>
      <c r="L15" s="725"/>
      <c r="M15" s="56"/>
      <c r="N15" s="726"/>
      <c r="O15" s="727"/>
      <c r="P15" s="56"/>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5" customHeight="1">
      <c r="A16" s="540"/>
      <c r="B16" s="725"/>
      <c r="C16" s="725"/>
      <c r="D16" s="725"/>
      <c r="E16" s="725"/>
      <c r="F16" s="725"/>
      <c r="G16" s="725"/>
      <c r="H16" s="725"/>
      <c r="I16" s="725"/>
      <c r="J16" s="725"/>
      <c r="K16" s="725"/>
      <c r="L16" s="725"/>
      <c r="M16" s="725"/>
      <c r="N16" s="725"/>
      <c r="O16" s="725"/>
      <c r="P16" s="725"/>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ustomHeight="1">
      <c r="A17" s="719"/>
      <c r="B17"/>
      <c r="C17"/>
      <c r="D17"/>
      <c r="E17"/>
      <c r="F17"/>
      <c r="G17"/>
      <c r="H17"/>
      <c r="I17"/>
      <c r="J17"/>
      <c r="K17"/>
      <c r="L17"/>
      <c r="M17"/>
      <c r="N17"/>
      <c r="O17" s="728">
        <f ca="1">CONCATENATE("PLACE, ",TEXT(TODAY(),"DD.MM.YYYY"))</f>
        <v>0</v>
      </c>
      <c r="P17" s="728"/>
      <c r="Q17" s="728"/>
      <c r="R17" s="728"/>
      <c r="S17" s="728"/>
      <c r="T17" s="728"/>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4.75" customHeight="1">
      <c r="A18" s="719"/>
      <c r="B18" s="729">
        <f>CONCATENATE("Final report of Energy Saving Check"," ","No."," ",'household+building'!Q3)</f>
        <v>0</v>
      </c>
      <c r="C18" s="730"/>
      <c r="D18" s="730"/>
      <c r="E18" s="730"/>
      <c r="F18" s="730"/>
      <c r="G18" s="730"/>
      <c r="H18" s="725"/>
      <c r="I18" s="730"/>
      <c r="J18" s="730"/>
      <c r="K18" s="730"/>
      <c r="L18" s="730"/>
      <c r="M18" s="730"/>
      <c r="N18" s="730"/>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6.75" customHeight="1">
      <c r="A19" s="731"/>
      <c r="B19"/>
      <c r="C19" s="732"/>
      <c r="D19" s="732"/>
      <c r="E19" s="732"/>
      <c r="F19" s="732"/>
      <c r="G19" s="732"/>
      <c r="H19" s="732"/>
      <c r="I19" s="732"/>
      <c r="J19" s="732"/>
      <c r="K19" s="732"/>
      <c r="L19" s="733"/>
      <c r="M19" s="734"/>
      <c r="N19" s="734"/>
      <c r="O19" s="730"/>
      <c r="P19" s="725"/>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 r="A20" s="731"/>
      <c r="B20" s="735">
        <f>CONCATENATE("Dear"," ",'Name+Adress'!L6," ",'Name+Adress'!I7,",")</f>
        <v>0</v>
      </c>
      <c r="C20" s="735"/>
      <c r="D20" s="735"/>
      <c r="E20" s="735"/>
      <c r="F20" s="735"/>
      <c r="G20" s="735"/>
      <c r="H20" s="735"/>
      <c r="I20" s="735"/>
      <c r="J20" s="735"/>
      <c r="K20" s="735"/>
      <c r="L20" s="735"/>
      <c r="M20" s="735"/>
      <c r="N20" s="735"/>
      <c r="O20" s="736"/>
      <c r="P20" s="737"/>
      <c r="Q20" s="738"/>
      <c r="R20" s="738"/>
      <c r="S20" s="738"/>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75" customHeight="1">
      <c r="A21" s="731"/>
      <c r="B21" s="739"/>
      <c r="C21" s="740"/>
      <c r="D21" s="740"/>
      <c r="E21" s="740"/>
      <c r="F21" s="740"/>
      <c r="G21" s="740"/>
      <c r="H21" s="737"/>
      <c r="I21" s="741"/>
      <c r="J21" s="742"/>
      <c r="K21" s="742"/>
      <c r="L21" s="742"/>
      <c r="M21" s="743"/>
      <c r="N21" s="744"/>
      <c r="O21" s="736"/>
      <c r="P21" s="737"/>
      <c r="Q21" s="737"/>
      <c r="R21" s="737"/>
      <c r="S21" s="737"/>
      <c r="T21" s="72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c r="A22" s="731"/>
      <c r="B22" s="745" t="s">
        <v>647</v>
      </c>
      <c r="C22" s="745"/>
      <c r="D22" s="745"/>
      <c r="E22" s="745"/>
      <c r="F22" s="745"/>
      <c r="G22" s="745"/>
      <c r="H22" s="745"/>
      <c r="I22" s="745"/>
      <c r="J22" s="745"/>
      <c r="K22" s="745"/>
      <c r="L22" s="745"/>
      <c r="M22" s="745"/>
      <c r="N22" s="745"/>
      <c r="O22" s="745"/>
      <c r="P22" s="745"/>
      <c r="Q22" s="745"/>
      <c r="R22" s="745"/>
      <c r="S22" s="745"/>
      <c r="T22" s="745"/>
      <c r="U22"/>
      <c r="V22"/>
      <c r="W22" s="199"/>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7.5" customHeight="1">
      <c r="A23" s="731"/>
      <c r="B23" s="746"/>
      <c r="C23" s="746"/>
      <c r="D23" s="746"/>
      <c r="E23" s="746"/>
      <c r="F23" s="746"/>
      <c r="G23" s="746"/>
      <c r="H23" s="746"/>
      <c r="I23" s="746"/>
      <c r="J23" s="746"/>
      <c r="K23" s="746"/>
      <c r="L23" s="746"/>
      <c r="M23" s="746"/>
      <c r="N23" s="746"/>
      <c r="O23" s="746"/>
      <c r="P23" s="746"/>
      <c r="Q23" s="746"/>
      <c r="R23" s="746"/>
      <c r="S23" s="746"/>
      <c r="T23" s="746"/>
      <c r="U23"/>
      <c r="V23"/>
      <c r="W23" s="199"/>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c r="B24" s="739"/>
      <c r="C24" s="739"/>
      <c r="D24" s="739"/>
      <c r="E24" s="739"/>
      <c r="F24" s="739"/>
      <c r="G24" s="61" t="s">
        <v>648</v>
      </c>
      <c r="H24" s="747">
        <f>'overview results'!L38</f>
        <v>0</v>
      </c>
      <c r="I24" s="747"/>
      <c r="J24" s="62" t="s">
        <v>649</v>
      </c>
      <c r="K24" s="748"/>
      <c r="L24" s="748"/>
      <c r="M24" s="749">
        <f>report!F40+report!N40</f>
        <v>0</v>
      </c>
      <c r="N24" s="749"/>
      <c r="O24" s="629" t="s">
        <v>650</v>
      </c>
      <c r="P24" s="750"/>
      <c r="Q24" s="750"/>
      <c r="R24" s="750"/>
      <c r="S24" s="750"/>
      <c r="T24"/>
      <c r="U24"/>
      <c r="V24"/>
      <c r="W24" s="199"/>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customHeight="1">
      <c r="A25"/>
      <c r="B25" s="739"/>
      <c r="C25" s="739"/>
      <c r="D25" s="739"/>
      <c r="E25" s="739"/>
      <c r="F25" s="739"/>
      <c r="G25"/>
      <c r="H25"/>
      <c r="I25" s="136" t="s">
        <v>651</v>
      </c>
      <c r="J25" s="751">
        <f>'overview results'!M38</f>
        <v>0</v>
      </c>
      <c r="K25" s="751"/>
      <c r="L25" s="751"/>
      <c r="M25" s="94" t="s">
        <v>652</v>
      </c>
      <c r="N25"/>
      <c r="O25"/>
      <c r="P25" s="750"/>
      <c r="Q25" s="750"/>
      <c r="R25" s="750"/>
      <c r="S25" s="750"/>
      <c r="T25"/>
      <c r="U25"/>
      <c r="V25"/>
      <c r="W25" s="199"/>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ustomHeight="1">
      <c r="A26"/>
      <c r="B26" s="739"/>
      <c r="C26" s="739"/>
      <c r="D26" s="739"/>
      <c r="E26" s="739"/>
      <c r="F26" s="739"/>
      <c r="G26"/>
      <c r="H26"/>
      <c r="I26" s="752" t="s">
        <v>653</v>
      </c>
      <c r="J26" s="748">
        <f>'overview results'!C38</f>
        <v>0</v>
      </c>
      <c r="K26" s="748"/>
      <c r="L26" s="748"/>
      <c r="M26" s="738" t="s">
        <v>654</v>
      </c>
      <c r="N26"/>
      <c r="O26"/>
      <c r="P26" s="750"/>
      <c r="Q26" s="750"/>
      <c r="R26" s="750"/>
      <c r="S26" s="750"/>
      <c r="T26"/>
      <c r="U26"/>
      <c r="V26"/>
      <c r="W26" s="199"/>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 customHeight="1">
      <c r="A27"/>
      <c r="B27" s="739"/>
      <c r="C27" s="739"/>
      <c r="D27" s="739"/>
      <c r="E27" s="739"/>
      <c r="F27" s="739"/>
      <c r="G27"/>
      <c r="H27"/>
      <c r="I27" s="752"/>
      <c r="J27" s="753"/>
      <c r="K27" s="753"/>
      <c r="L27" s="753"/>
      <c r="M27" s="738"/>
      <c r="N27"/>
      <c r="O27"/>
      <c r="P27" s="750"/>
      <c r="Q27" s="750"/>
      <c r="R27" s="750"/>
      <c r="S27" s="750"/>
      <c r="T27"/>
      <c r="U27"/>
      <c r="V27"/>
      <c r="W27" s="199"/>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c r="A28"/>
      <c r="B28" s="739"/>
      <c r="C28" s="739"/>
      <c r="D28" s="739" t="s">
        <v>655</v>
      </c>
      <c r="E28" s="739"/>
      <c r="F28" s="739"/>
      <c r="G28"/>
      <c r="H28" s="753"/>
      <c r="I28" s="754"/>
      <c r="J28" s="754"/>
      <c r="K28" s="755"/>
      <c r="L28" s="94"/>
      <c r="M28" s="94"/>
      <c r="N28" s="738"/>
      <c r="O28"/>
      <c r="P28" s="750"/>
      <c r="Q28" s="750"/>
      <c r="R28" s="750"/>
      <c r="S28" s="750"/>
      <c r="T28"/>
      <c r="U28"/>
      <c r="V28"/>
      <c r="W28" s="199"/>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8.25" customHeight="1">
      <c r="A29"/>
      <c r="B29" s="739"/>
      <c r="C29" s="739"/>
      <c r="D29" s="739"/>
      <c r="E29" s="739"/>
      <c r="F29" s="739"/>
      <c r="G29"/>
      <c r="H29" s="753"/>
      <c r="I29" s="754"/>
      <c r="J29" s="754"/>
      <c r="K29" s="755"/>
      <c r="L29" s="94"/>
      <c r="M29" s="94"/>
      <c r="N29" s="738"/>
      <c r="O29"/>
      <c r="P29" s="750"/>
      <c r="Q29" s="750"/>
      <c r="R29" s="750"/>
      <c r="S29" s="750"/>
      <c r="T29"/>
      <c r="U29"/>
      <c r="V29"/>
      <c r="W29" s="19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hidden="1">
      <c r="A30"/>
      <c r="B30" s="739"/>
      <c r="C30" s="739"/>
      <c r="D30" s="739"/>
      <c r="E30" s="739"/>
      <c r="F30" s="752"/>
      <c r="G30"/>
      <c r="H30"/>
      <c r="I30" s="752"/>
      <c r="J30" s="756"/>
      <c r="K30" s="756"/>
      <c r="L30" s="756"/>
      <c r="M30" s="738"/>
      <c r="N30"/>
      <c r="O30"/>
      <c r="P30"/>
      <c r="Q30"/>
      <c r="R30"/>
      <c r="S30" s="757"/>
      <c r="T30" s="757"/>
      <c r="U30"/>
      <c r="V30"/>
      <c r="W30" s="19"/>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ustomHeight="1" hidden="1">
      <c r="A31"/>
      <c r="B31"/>
      <c r="C31"/>
      <c r="D31"/>
      <c r="E31"/>
      <c r="F31"/>
      <c r="G31"/>
      <c r="H31"/>
      <c r="I31" s="758"/>
      <c r="J31" s="756"/>
      <c r="K31" s="756"/>
      <c r="L31" s="756"/>
      <c r="M31" s="757"/>
      <c r="N31" s="757"/>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customHeight="1">
      <c r="A32" s="52"/>
      <c r="B32"/>
      <c r="C32"/>
      <c r="D32"/>
      <c r="E32"/>
      <c r="F32"/>
      <c r="G32"/>
      <c r="H32"/>
      <c r="I32"/>
      <c r="J32"/>
      <c r="K32"/>
      <c r="L32"/>
      <c r="M32" s="759"/>
      <c r="N32" s="759"/>
      <c r="O32" s="759"/>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2"/>
      <c r="B33" s="760" t="s">
        <v>656</v>
      </c>
      <c r="C33" s="760"/>
      <c r="D33" s="760"/>
      <c r="E33" s="760"/>
      <c r="F33" s="761" t="s">
        <v>657</v>
      </c>
      <c r="G33" s="761"/>
      <c r="H33" s="761"/>
      <c r="I33" s="761"/>
      <c r="J33" s="761" t="s">
        <v>658</v>
      </c>
      <c r="K33" s="761"/>
      <c r="L33" s="761"/>
      <c r="M33" s="761"/>
      <c r="N33" s="761" t="s">
        <v>659</v>
      </c>
      <c r="O33" s="761"/>
      <c r="P33" s="761"/>
      <c r="Q33" s="761"/>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customHeight="1">
      <c r="A34" s="52"/>
      <c r="B34" s="760"/>
      <c r="C34" s="760"/>
      <c r="D34" s="760"/>
      <c r="E34" s="760"/>
      <c r="F34" s="171" t="s">
        <v>147</v>
      </c>
      <c r="G34" s="171"/>
      <c r="H34" s="171" t="s">
        <v>660</v>
      </c>
      <c r="I34" s="171"/>
      <c r="J34" s="171" t="s">
        <v>373</v>
      </c>
      <c r="K34" s="171"/>
      <c r="L34" s="171" t="s">
        <v>660</v>
      </c>
      <c r="M34" s="171"/>
      <c r="N34" s="171" t="s">
        <v>147</v>
      </c>
      <c r="O34" s="171"/>
      <c r="P34" s="171" t="s">
        <v>660</v>
      </c>
      <c r="Q34" s="171"/>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customHeight="1">
      <c r="A35" s="52"/>
      <c r="B35" s="171" t="s">
        <v>268</v>
      </c>
      <c r="C35" s="171"/>
      <c r="D35" s="171"/>
      <c r="E35" s="171"/>
      <c r="F35" s="762">
        <f>IF('household+building'!F40&lt;&gt;0,'household+building'!F40,'household+building'!W44)</f>
        <v>0</v>
      </c>
      <c r="G35" s="762"/>
      <c r="H35" s="763">
        <f>IF('household+building'!J45&lt;&gt;0,'household+building'!J45,'household+building'!W44)</f>
        <v>0</v>
      </c>
      <c r="I35" s="763"/>
      <c r="J35" s="762">
        <f>IF('household+building'!J66&lt;&gt;0,'household+building'!J66,'household+building'!W66)</f>
        <v>0</v>
      </c>
      <c r="K35" s="762"/>
      <c r="L35" s="763">
        <f>IF('household+building'!J69&lt;&gt;0,'household+building'!J69,'household+building'!W66)</f>
        <v>0</v>
      </c>
      <c r="M35" s="763"/>
      <c r="N35" s="762">
        <f>IF('household+building'!J100&lt;&gt;0,'household+building'!J100,'household+building'!W99)</f>
        <v>0</v>
      </c>
      <c r="O35" s="762"/>
      <c r="P35" s="763">
        <f>IF('household+building'!J101&lt;&gt;0,'household+building'!J101,'household+building'!W99)</f>
        <v>0</v>
      </c>
      <c r="Q35" s="763"/>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customHeight="1">
      <c r="A36" s="52"/>
      <c r="B36" s="171" t="s">
        <v>661</v>
      </c>
      <c r="C36" s="171"/>
      <c r="D36" s="171"/>
      <c r="E36" s="171"/>
      <c r="F36" s="764">
        <f>IF(F35&lt;&gt;'household+building'!W44,IF(G44&lt;&gt;"",SUM(F35/G44),'household+building'!W44),'household+building'!W44)</f>
        <v>0</v>
      </c>
      <c r="G36" s="764"/>
      <c r="H36" s="765" t="s">
        <v>662</v>
      </c>
      <c r="I36" s="765"/>
      <c r="J36" s="764">
        <f>IF(J35&lt;&gt;'household+building'!W66,IF(G44&lt;&gt;"",SUM(J35/G44),'household+building'!W66),'household+building'!W66)</f>
        <v>0</v>
      </c>
      <c r="K36" s="764"/>
      <c r="L36" s="765" t="s">
        <v>662</v>
      </c>
      <c r="M36" s="765"/>
      <c r="N36" s="765" t="s">
        <v>662</v>
      </c>
      <c r="O36" s="765"/>
      <c r="P36" s="765" t="s">
        <v>662</v>
      </c>
      <c r="Q36" s="765"/>
      <c r="R36" s="766" t="s">
        <v>663</v>
      </c>
      <c r="S36" s="766"/>
      <c r="T36" s="766"/>
      <c r="U36" s="76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4.25" customHeight="1">
      <c r="A37" s="52"/>
      <c r="B37" s="171" t="s">
        <v>664</v>
      </c>
      <c r="C37" s="171"/>
      <c r="D37" s="171"/>
      <c r="E37" s="171"/>
      <c r="F37" s="765" t="s">
        <v>662</v>
      </c>
      <c r="G37" s="765"/>
      <c r="H37" s="765" t="s">
        <v>662</v>
      </c>
      <c r="I37" s="765"/>
      <c r="J37" s="765" t="s">
        <v>662</v>
      </c>
      <c r="K37" s="765"/>
      <c r="L37" s="765" t="s">
        <v>662</v>
      </c>
      <c r="M37" s="765"/>
      <c r="N37" s="764">
        <f>IF(N35&lt;&gt;'household+building'!W99,IF(Q44&lt;&gt;"",SUM(N35/Q44),'household+building'!W99),'household+building'!W99)</f>
        <v>0</v>
      </c>
      <c r="O37" s="764"/>
      <c r="P37" s="765" t="s">
        <v>662</v>
      </c>
      <c r="Q37" s="765"/>
      <c r="R37" s="766"/>
      <c r="S37" s="766"/>
      <c r="T37" s="766"/>
      <c r="U37" s="766"/>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52"/>
      <c r="B38" s="171" t="s">
        <v>665</v>
      </c>
      <c r="C38" s="171"/>
      <c r="D38" s="171"/>
      <c r="E38" s="171"/>
      <c r="F38" s="767">
        <f>IF('household+building'!R45="x",'household+building'!L45,IF('household+building'!R46="x",'household+building'!L46,IF('household+building'!R47="x",'household+building'!L47,IF('household+building'!R48="x",'household+building'!L48,'household+building'!W44))))</f>
        <v>0</v>
      </c>
      <c r="G38" s="767"/>
      <c r="H38" s="767"/>
      <c r="I38" s="767"/>
      <c r="J38" s="767">
        <f>IF('household+building'!R66="x",'household+building'!L66,IF('household+building'!R67="x",'household+building'!L67,IF('household+building'!R68="x",'household+building'!L68,IF('household+building'!R69="x",'household+building'!L69,IF('household+building'!R70="x",'household+building'!L70,'household+building'!W66)))))</f>
        <v>0</v>
      </c>
      <c r="K38" s="767"/>
      <c r="L38" s="767"/>
      <c r="M38" s="767"/>
      <c r="N38" s="767">
        <f>IF('household+building'!R97="x",'household+building'!L97,IF('household+building'!R98="x",'household+building'!L98,IF('household+building'!R99="x",'household+building'!L99,IF('household+building'!R100="x",'household+building'!L100,'household+building'!W99))))</f>
        <v>0</v>
      </c>
      <c r="O38" s="767"/>
      <c r="P38" s="767"/>
      <c r="Q38" s="767"/>
      <c r="R38" s="766"/>
      <c r="S38" s="766"/>
      <c r="T38" s="766"/>
      <c r="U38" s="766"/>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5.25" customHeight="1">
      <c r="A39" s="52"/>
      <c r="B39" s="330"/>
      <c r="C39" s="330"/>
      <c r="D39" s="330"/>
      <c r="E39" s="330"/>
      <c r="F39" s="330"/>
      <c r="G39" s="330"/>
      <c r="H39" s="330"/>
      <c r="I39" s="330"/>
      <c r="J39" s="330"/>
      <c r="K39" s="330"/>
      <c r="L39" s="330"/>
      <c r="M39" s="330"/>
      <c r="N39" s="330"/>
      <c r="O39" s="330"/>
      <c r="P39" s="330"/>
      <c r="Q39" s="330"/>
      <c r="R39" s="766"/>
      <c r="S39" s="766"/>
      <c r="T39" s="766"/>
      <c r="U39" s="766"/>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ustomHeight="1">
      <c r="A40" s="52"/>
      <c r="B40" s="768" t="s">
        <v>279</v>
      </c>
      <c r="C40" s="768"/>
      <c r="D40" s="768"/>
      <c r="E40" s="768"/>
      <c r="F40" s="769">
        <f>'overview results'!D38</f>
        <v>0</v>
      </c>
      <c r="G40" s="769"/>
      <c r="H40" s="763">
        <f>'overview results'!E38</f>
        <v>0</v>
      </c>
      <c r="I40" s="763"/>
      <c r="J40" s="769">
        <f>'overview results'!G38</f>
        <v>0</v>
      </c>
      <c r="K40" s="769"/>
      <c r="L40" s="763">
        <f>'overview results'!H38</f>
        <v>0</v>
      </c>
      <c r="M40" s="763"/>
      <c r="N40" s="769">
        <f>'overview results'!I38</f>
        <v>0</v>
      </c>
      <c r="O40" s="769"/>
      <c r="P40" s="763">
        <f>'overview results'!J38</f>
        <v>0</v>
      </c>
      <c r="Q40" s="763"/>
      <c r="R40" s="766"/>
      <c r="S40" s="766"/>
      <c r="T40" s="766"/>
      <c r="U40" s="766"/>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ustomHeight="1">
      <c r="A41" s="52"/>
      <c r="B41" s="171" t="s">
        <v>666</v>
      </c>
      <c r="C41" s="171"/>
      <c r="D41" s="171"/>
      <c r="E41" s="171"/>
      <c r="F41" s="770">
        <f>IF(F35&lt;&gt;'household+building'!W44,IF(F35&gt;0,SUM(F40/F35),0),'household+building'!W44)</f>
        <v>0</v>
      </c>
      <c r="G41" s="770"/>
      <c r="H41" s="771"/>
      <c r="I41" s="771"/>
      <c r="J41" s="770">
        <f>IF(J35&lt;&gt;'household+building'!W66,IF(J35&gt;0,SUM(J40/J35),0),'household+building'!W66)</f>
        <v>0</v>
      </c>
      <c r="K41" s="770"/>
      <c r="L41" s="771"/>
      <c r="M41" s="771"/>
      <c r="N41" s="770">
        <f>IF(N35&lt;&gt;'household+building'!W99,IF(N35&gt;0,SUM(N40/N35),0),'household+building'!W99)</f>
        <v>0</v>
      </c>
      <c r="O41" s="770"/>
      <c r="P41" s="771"/>
      <c r="Q41" s="771"/>
      <c r="R41" s="766"/>
      <c r="S41" s="766"/>
      <c r="T41" s="766"/>
      <c r="U41" s="766"/>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0.5" customHeight="1">
      <c r="A42" s="52"/>
      <c r="B42"/>
      <c r="C42" s="772"/>
      <c r="D42" s="772"/>
      <c r="E42" s="773"/>
      <c r="F42"/>
      <c r="G42" s="772"/>
      <c r="H42"/>
      <c r="I42"/>
      <c r="J42"/>
      <c r="K42" s="772"/>
      <c r="L42" s="772"/>
      <c r="M42" s="772"/>
      <c r="N42" s="5"/>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 customHeight="1">
      <c r="A43" s="52"/>
      <c r="B43" s="774" t="s">
        <v>2</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c r="A44" s="52"/>
      <c r="B44" s="775" t="s">
        <v>667</v>
      </c>
      <c r="C44" s="775"/>
      <c r="D44" s="775"/>
      <c r="E44" s="775"/>
      <c r="F44" s="775"/>
      <c r="G44" s="171">
        <f>'household+building'!G26</f>
        <v>0</v>
      </c>
      <c r="H44" s="171"/>
      <c r="I44" s="171"/>
      <c r="J44" s="171"/>
      <c r="K44"/>
      <c r="L44" s="775" t="s">
        <v>668</v>
      </c>
      <c r="M44" s="775"/>
      <c r="N44" s="775"/>
      <c r="O44" s="775"/>
      <c r="P44" s="775"/>
      <c r="Q44" s="764">
        <f>'household+building'!G24</f>
        <v>0</v>
      </c>
      <c r="R44" s="764"/>
      <c r="S44" s="764"/>
      <c r="T44" s="764"/>
      <c r="U44" s="76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c r="A45" s="52"/>
      <c r="B45" s="775" t="s">
        <v>669</v>
      </c>
      <c r="C45" s="775"/>
      <c r="D45" s="775"/>
      <c r="E45" s="775"/>
      <c r="F45" s="775"/>
      <c r="G45" s="171">
        <f>'household+building'!G10</f>
        <v>0</v>
      </c>
      <c r="H45" s="171"/>
      <c r="I45" s="171"/>
      <c r="J45" s="171"/>
      <c r="L45" s="775" t="s">
        <v>670</v>
      </c>
      <c r="M45" s="775"/>
      <c r="N45" s="775"/>
      <c r="O45" s="775"/>
      <c r="P45" s="775"/>
      <c r="Q45" s="764">
        <f>'household+building'!P21</f>
        <v>0</v>
      </c>
      <c r="R45" s="764"/>
      <c r="S45" s="764"/>
      <c r="T45" s="764"/>
      <c r="U45" s="764"/>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25" customHeight="1">
      <c r="A46" s="52"/>
      <c r="B46" s="775">
        <f>'household+building'!N10</f>
        <v>0</v>
      </c>
      <c r="C46" s="775"/>
      <c r="D46" s="775"/>
      <c r="E46" s="775"/>
      <c r="F46" s="775"/>
      <c r="G46" s="171">
        <f>'household+building'!O10</f>
        <v>0</v>
      </c>
      <c r="H46" s="171"/>
      <c r="I46" s="171"/>
      <c r="J46" s="171"/>
      <c r="L46" s="775" t="s">
        <v>671</v>
      </c>
      <c r="M46" s="775"/>
      <c r="N46" s="775"/>
      <c r="O46" s="775"/>
      <c r="P46" s="775"/>
      <c r="Q46" s="764">
        <f>'household+building'!H85</f>
        <v>0</v>
      </c>
      <c r="R46" s="764"/>
      <c r="S46" s="764"/>
      <c r="T46" s="764"/>
      <c r="U46" s="764"/>
      <c r="V46"/>
      <c r="W46" s="1" t="s">
        <v>672</v>
      </c>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s="52"/>
      <c r="B47" s="775" t="s">
        <v>673</v>
      </c>
      <c r="C47" s="775"/>
      <c r="D47" s="775"/>
      <c r="E47" s="775"/>
      <c r="F47" s="775"/>
      <c r="G47" s="171">
        <f>'household+building'!G11:J11</f>
        <v>0</v>
      </c>
      <c r="H47" s="171"/>
      <c r="I47" s="171"/>
      <c r="J47" s="171"/>
      <c r="L47" s="775" t="s">
        <v>674</v>
      </c>
      <c r="M47" s="775"/>
      <c r="N47" s="775"/>
      <c r="O47" s="775"/>
      <c r="P47" s="775"/>
      <c r="Q47" s="764">
        <f>'household+building'!P86</f>
        <v>0</v>
      </c>
      <c r="R47" s="764"/>
      <c r="S47" s="764"/>
      <c r="T47" s="764"/>
      <c r="U47" s="764"/>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6.5" customHeight="1">
      <c r="A48" s="52"/>
      <c r="B48" s="775" t="s">
        <v>675</v>
      </c>
      <c r="C48" s="775"/>
      <c r="D48" s="775"/>
      <c r="E48" s="775"/>
      <c r="F48" s="775"/>
      <c r="G48" s="171">
        <f>IF('household+building'!G14&gt;0,'household+building'!G14,'household+building'!G17)</f>
        <v>0</v>
      </c>
      <c r="H48" s="171"/>
      <c r="I48" s="171"/>
      <c r="J48" s="171"/>
      <c r="K48" s="776"/>
      <c r="L48" s="775" t="s">
        <v>676</v>
      </c>
      <c r="M48" s="775"/>
      <c r="N48" s="775"/>
      <c r="O48" s="775"/>
      <c r="P48" s="775"/>
      <c r="Q48" s="764">
        <f>'household+building'!H86</f>
        <v>0</v>
      </c>
      <c r="R48" s="764"/>
      <c r="S48" s="764"/>
      <c r="T48" s="764"/>
      <c r="U48" s="764"/>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s="52"/>
      <c r="B49" s="775" t="s">
        <v>677</v>
      </c>
      <c r="C49" s="775"/>
      <c r="D49" s="775"/>
      <c r="E49" s="775"/>
      <c r="F49" s="775"/>
      <c r="G49" s="171">
        <f>'household+building'!G21:I21</f>
        <v>0</v>
      </c>
      <c r="H49" s="171"/>
      <c r="I49" s="171"/>
      <c r="J49" s="171"/>
      <c r="K49" s="776"/>
      <c r="L49" s="775" t="s">
        <v>678</v>
      </c>
      <c r="M49" s="775"/>
      <c r="N49" s="775"/>
      <c r="O49" s="775"/>
      <c r="P49" s="775"/>
      <c r="Q49" s="764">
        <f>'household+building'!I46</f>
        <v>0</v>
      </c>
      <c r="R49" s="764"/>
      <c r="S49" s="764"/>
      <c r="T49" s="764"/>
      <c r="U49" s="764"/>
      <c r="V49" s="776"/>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1.25" customHeight="1">
      <c r="A50" s="52"/>
      <c r="B50" s="777"/>
      <c r="C50" s="196"/>
      <c r="D50" s="196"/>
      <c r="E50" s="196"/>
      <c r="F50" s="196"/>
      <c r="G50" s="776"/>
      <c r="H50" s="776"/>
      <c r="I50" s="776"/>
      <c r="J50" s="776"/>
      <c r="K50" s="776"/>
      <c r="L50"/>
      <c r="M50" s="777"/>
      <c r="N50" s="196"/>
      <c r="O50" s="196"/>
      <c r="P50" s="196"/>
      <c r="Q50" s="196"/>
      <c r="R50" s="776"/>
      <c r="S50" s="776"/>
      <c r="T50" s="776"/>
      <c r="U50" s="776"/>
      <c r="V50" s="776"/>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ustomHeight="1">
      <c r="A51" s="52"/>
      <c r="B51" s="775" t="s">
        <v>679</v>
      </c>
      <c r="C51" s="775"/>
      <c r="D51" s="775"/>
      <c r="E51" s="775"/>
      <c r="F51" s="775"/>
      <c r="G51" s="775"/>
      <c r="H51" s="131">
        <f>'household+building'!G22</f>
        <v>0</v>
      </c>
      <c r="I51" s="131"/>
      <c r="J51" s="131"/>
      <c r="K51"/>
      <c r="L51" s="102"/>
      <c r="M51" s="102"/>
      <c r="N51" s="102"/>
      <c r="O51" s="102"/>
      <c r="P51" s="102"/>
      <c r="Q51" s="102"/>
      <c r="R51" s="102"/>
      <c r="S51" s="102"/>
      <c r="T51" s="102"/>
      <c r="U51" s="102"/>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customHeight="1">
      <c r="A52" s="52"/>
      <c r="B52" s="775" t="s">
        <v>680</v>
      </c>
      <c r="C52" s="775"/>
      <c r="D52" s="775"/>
      <c r="E52" s="775"/>
      <c r="F52" s="775"/>
      <c r="G52" s="775"/>
      <c r="H52" s="131">
        <f>'household+building'!P22</f>
        <v>0</v>
      </c>
      <c r="I52" s="131"/>
      <c r="J52" s="131"/>
      <c r="K52"/>
      <c r="L52" s="102"/>
      <c r="M52" s="102"/>
      <c r="N52" s="102"/>
      <c r="O52" s="102"/>
      <c r="P52" s="102"/>
      <c r="Q52" s="102"/>
      <c r="R52" s="102"/>
      <c r="S52" s="102"/>
      <c r="T52" s="102"/>
      <c r="U52" s="10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4.25" customHeight="1">
      <c r="A53" s="52"/>
      <c r="B53" s="775">
        <f>heating!F26</f>
        <v>0</v>
      </c>
      <c r="C53" s="775"/>
      <c r="D53" s="775"/>
      <c r="E53" s="775"/>
      <c r="F53" s="775"/>
      <c r="G53" s="775"/>
      <c r="H53" s="131">
        <f>heating!G26</f>
        <v>0</v>
      </c>
      <c r="I53" s="131"/>
      <c r="J53" s="131"/>
      <c r="K53"/>
      <c r="L53" s="102"/>
      <c r="M53" s="102"/>
      <c r="N53" s="102"/>
      <c r="O53" s="102"/>
      <c r="P53" s="102"/>
      <c r="Q53" s="102"/>
      <c r="R53" s="102"/>
      <c r="S53" s="102"/>
      <c r="T53" s="102"/>
      <c r="U53" s="102"/>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4.25" customHeight="1">
      <c r="A54" s="52"/>
      <c r="B54" s="775">
        <f>heating!F72</f>
        <v>0</v>
      </c>
      <c r="C54" s="775"/>
      <c r="D54" s="775"/>
      <c r="E54" s="775"/>
      <c r="F54" s="775"/>
      <c r="G54" s="775"/>
      <c r="H54" s="131">
        <f>heating!G72</f>
        <v>0</v>
      </c>
      <c r="I54" s="131"/>
      <c r="J54" s="131"/>
      <c r="K54"/>
      <c r="L54" s="102"/>
      <c r="M54" s="102"/>
      <c r="N54" s="102"/>
      <c r="O54" s="102"/>
      <c r="P54" s="102"/>
      <c r="Q54" s="102"/>
      <c r="R54" s="102"/>
      <c r="S54" s="102"/>
      <c r="T54" s="102"/>
      <c r="U54" s="102"/>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75" customHeight="1">
      <c r="A55" s="52"/>
      <c r="B55" s="775">
        <f>heating!F94</f>
        <v>0</v>
      </c>
      <c r="C55" s="775"/>
      <c r="D55" s="775"/>
      <c r="E55" s="775"/>
      <c r="F55" s="775"/>
      <c r="G55" s="775"/>
      <c r="H55" s="131">
        <f>heating!G94</f>
        <v>0</v>
      </c>
      <c r="I55" s="131"/>
      <c r="J55" s="131"/>
      <c r="K55"/>
      <c r="L55" s="102"/>
      <c r="M55" s="102"/>
      <c r="N55" s="102"/>
      <c r="O55" s="102"/>
      <c r="P55" s="102"/>
      <c r="Q55" s="102"/>
      <c r="R55" s="102"/>
      <c r="S55" s="102"/>
      <c r="T55" s="102"/>
      <c r="U55" s="102"/>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ustomHeight="1">
      <c r="A56" s="56"/>
      <c r="B56" s="102"/>
      <c r="C56" s="102"/>
      <c r="D56" s="102"/>
      <c r="E56" s="102"/>
      <c r="F56" s="102"/>
      <c r="G56" s="102"/>
      <c r="H56" s="102"/>
      <c r="I56" s="102"/>
      <c r="J56" s="102"/>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75" customHeight="1">
      <c r="A57" s="5"/>
      <c r="B57" s="102"/>
      <c r="C57" s="102"/>
      <c r="D57" s="102"/>
      <c r="E57" s="102"/>
      <c r="F57" s="102"/>
      <c r="G57" s="102"/>
      <c r="H57" s="102"/>
      <c r="I57" s="102"/>
      <c r="J57" s="102"/>
      <c r="K57"/>
      <c r="L57" s="775" t="s">
        <v>681</v>
      </c>
      <c r="M57" s="775"/>
      <c r="N57" s="775"/>
      <c r="O57" s="775"/>
      <c r="P57" s="775"/>
      <c r="Q57" s="778">
        <f>CONCATENATE('Name+Adress'!D12,","," ",'Name+Adress'!D13)</f>
        <v>0</v>
      </c>
      <c r="R57" s="778"/>
      <c r="S57" s="778"/>
      <c r="T57" s="778"/>
      <c r="U57" s="778"/>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4.25" customHeight="1">
      <c r="A58" s="5"/>
      <c r="B58" s="102"/>
      <c r="C58" s="102"/>
      <c r="D58" s="102"/>
      <c r="E58" s="102"/>
      <c r="F58" s="102"/>
      <c r="G58" s="102"/>
      <c r="H58" s="102"/>
      <c r="I58" s="102"/>
      <c r="J58" s="102"/>
      <c r="K58"/>
      <c r="L58" s="225" t="s">
        <v>682</v>
      </c>
      <c r="M58" s="225"/>
      <c r="N58" s="225"/>
      <c r="O58" s="225"/>
      <c r="P58" s="225"/>
      <c r="Q58" s="779">
        <f>'Name+Adress'!R7</f>
        <v>0</v>
      </c>
      <c r="R58" s="779"/>
      <c r="S58" s="779"/>
      <c r="T58" s="779"/>
      <c r="U58" s="779"/>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75" customHeight="1">
      <c r="A59" s="5"/>
      <c r="B59" s="775" t="s">
        <v>683</v>
      </c>
      <c r="C59" s="775"/>
      <c r="D59" s="775"/>
      <c r="E59" s="775"/>
      <c r="F59" s="775"/>
      <c r="G59" s="775"/>
      <c r="H59" s="780">
        <f>heating!F161</f>
        <v>0</v>
      </c>
      <c r="I59" s="780"/>
      <c r="J59" s="780"/>
      <c r="K59"/>
      <c r="L59" s="781" t="s">
        <v>684</v>
      </c>
      <c r="M59" s="781"/>
      <c r="N59" s="781"/>
      <c r="O59" s="781"/>
      <c r="P59" s="781"/>
      <c r="Q59" s="782">
        <f>heating!G178</f>
        <v>0</v>
      </c>
      <c r="R59" s="782"/>
      <c r="S59" s="782"/>
      <c r="T59" s="782"/>
      <c r="U59" s="782"/>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2" customHeight="1">
      <c r="A60" s="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ustomHeight="1">
      <c r="A61" s="5"/>
      <c r="B61" s="536" t="s">
        <v>252</v>
      </c>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4.25">
      <c r="A62" s="5"/>
      <c r="B62" s="783">
        <f>'household+building'!B117</f>
        <v>0</v>
      </c>
      <c r="C62" s="783"/>
      <c r="D62" s="783"/>
      <c r="E62" s="783"/>
      <c r="F62" s="783"/>
      <c r="G62" s="783"/>
      <c r="H62" s="783"/>
      <c r="I62" s="783"/>
      <c r="J62" s="783"/>
      <c r="K62" s="783"/>
      <c r="L62" s="783"/>
      <c r="M62" s="783"/>
      <c r="N62" s="783"/>
      <c r="O62" s="783"/>
      <c r="P62" s="783"/>
      <c r="Q62" s="783"/>
      <c r="R62" s="783"/>
      <c r="S62" s="783"/>
      <c r="T62" s="783"/>
      <c r="U62" s="783"/>
      <c r="V62" s="418"/>
      <c r="W62" s="418"/>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7.75" customHeight="1">
      <c r="A63" s="5"/>
      <c r="B63" s="783"/>
      <c r="C63" s="783"/>
      <c r="D63" s="783"/>
      <c r="E63" s="783"/>
      <c r="F63" s="783"/>
      <c r="G63" s="783"/>
      <c r="H63" s="783"/>
      <c r="I63" s="783"/>
      <c r="J63" s="783"/>
      <c r="K63" s="783"/>
      <c r="L63" s="783"/>
      <c r="M63" s="783"/>
      <c r="N63" s="783"/>
      <c r="O63" s="783"/>
      <c r="P63" s="783"/>
      <c r="Q63" s="783"/>
      <c r="R63" s="783"/>
      <c r="S63" s="783"/>
      <c r="T63" s="783"/>
      <c r="U63" s="78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9.75" customHeight="1">
      <c r="A64" s="5"/>
      <c r="B64"/>
      <c r="C64" s="784"/>
      <c r="D64"/>
      <c r="E64" s="772"/>
      <c r="F64" s="772"/>
      <c r="G64" s="773"/>
      <c r="H64"/>
      <c r="I64" s="772"/>
      <c r="J64"/>
      <c r="K64"/>
      <c r="L64"/>
      <c r="M64" s="772"/>
      <c r="N64" s="772"/>
      <c r="O64" s="772"/>
      <c r="P64" s="5"/>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3" customHeight="1" hidden="1">
      <c r="A65" s="5"/>
      <c r="B65"/>
      <c r="C65"/>
      <c r="D65" s="784"/>
      <c r="E65" s="772"/>
      <c r="F65" s="772"/>
      <c r="G65" s="773"/>
      <c r="H65" s="772"/>
      <c r="I65" s="772"/>
      <c r="J65"/>
      <c r="K65"/>
      <c r="L65"/>
      <c r="M65" s="772"/>
      <c r="N65" s="772"/>
      <c r="O65" s="772"/>
      <c r="P65" s="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 customHeight="1">
      <c r="A66" s="5"/>
      <c r="B66"/>
      <c r="C66"/>
      <c r="D66" s="784"/>
      <c r="E66" s="772"/>
      <c r="F66" s="772"/>
      <c r="G66" s="773"/>
      <c r="H66" s="772"/>
      <c r="I66" s="772"/>
      <c r="J66"/>
      <c r="K66"/>
      <c r="L66"/>
      <c r="M66" s="772"/>
      <c r="N66" s="772"/>
      <c r="O66" s="772"/>
      <c r="P66" s="5"/>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9.75" customHeight="1">
      <c r="A67" s="5"/>
      <c r="B67"/>
      <c r="C67"/>
      <c r="D67" s="784"/>
      <c r="E67" s="772"/>
      <c r="F67" s="772"/>
      <c r="G67" s="773"/>
      <c r="H67" s="772"/>
      <c r="I67" s="772"/>
      <c r="J67"/>
      <c r="K67"/>
      <c r="L67"/>
      <c r="M67" s="772"/>
      <c r="N67" s="772"/>
      <c r="O67" s="772"/>
      <c r="P67" s="5"/>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2.25" customHeight="1">
      <c r="A68" s="5"/>
      <c r="B68"/>
      <c r="C68" s="785" t="s">
        <v>685</v>
      </c>
      <c r="D68" s="772"/>
      <c r="E68" s="772"/>
      <c r="F68" s="772"/>
      <c r="G68" s="772"/>
      <c r="H68" s="772"/>
      <c r="I68" s="772"/>
      <c r="J68" s="786"/>
      <c r="K68" s="772"/>
      <c r="L68" s="772"/>
      <c r="M68" s="772"/>
      <c r="N68" s="772"/>
      <c r="O68" s="5"/>
      <c r="P68"/>
      <c r="Q68"/>
      <c r="R68" s="19"/>
      <c r="S68"/>
      <c r="T68"/>
      <c r="U68"/>
      <c r="V68" s="19"/>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75" customHeight="1">
      <c r="A69" s="5"/>
      <c r="B69"/>
      <c r="C69" s="787" t="s">
        <v>256</v>
      </c>
      <c r="D69" s="787"/>
      <c r="E69" s="787"/>
      <c r="F69" s="788" t="s">
        <v>485</v>
      </c>
      <c r="G69" s="787" t="s">
        <v>686</v>
      </c>
      <c r="H69" s="787"/>
      <c r="I69" s="787"/>
      <c r="J69" s="787"/>
      <c r="K69" s="787"/>
      <c r="L69" s="787"/>
      <c r="M69" s="787"/>
      <c r="N69" s="788" t="s">
        <v>687</v>
      </c>
      <c r="O69" s="788"/>
      <c r="P69" s="788"/>
      <c r="Q69" s="788"/>
      <c r="R69" s="788" t="s">
        <v>280</v>
      </c>
      <c r="S69" s="788"/>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2" s="789" customFormat="1" ht="19.5" customHeight="1">
      <c r="A70" s="41"/>
      <c r="B70" s="1"/>
      <c r="C70" s="787"/>
      <c r="D70" s="787"/>
      <c r="E70" s="787"/>
      <c r="F70" s="788"/>
      <c r="G70" s="787"/>
      <c r="H70" s="787"/>
      <c r="I70" s="787"/>
      <c r="J70" s="787"/>
      <c r="K70" s="787"/>
      <c r="L70" s="787"/>
      <c r="M70" s="787"/>
      <c r="N70" s="129" t="s">
        <v>688</v>
      </c>
      <c r="O70" s="129"/>
      <c r="P70" s="129" t="s">
        <v>660</v>
      </c>
      <c r="Q70" s="129"/>
      <c r="R70" s="788"/>
      <c r="S70" s="788"/>
      <c r="V70" s="19"/>
    </row>
    <row r="71" spans="1:22" s="789" customFormat="1" ht="19.5" customHeight="1">
      <c r="A71" s="41"/>
      <c r="B71"/>
      <c r="C71" s="790">
        <f>'light, standby'!B15</f>
        <v>0</v>
      </c>
      <c r="D71" s="790"/>
      <c r="E71" s="790"/>
      <c r="F71" s="791">
        <f>'light, standby'!L15</f>
        <v>0</v>
      </c>
      <c r="G71" s="792">
        <f>'light, standby'!H15</f>
        <v>0</v>
      </c>
      <c r="H71" s="792"/>
      <c r="I71" s="792"/>
      <c r="J71" s="792"/>
      <c r="K71" s="792"/>
      <c r="L71" s="792"/>
      <c r="M71" s="792"/>
      <c r="N71" s="793">
        <f>'light, standby'!M15</f>
        <v>0</v>
      </c>
      <c r="O71" s="793"/>
      <c r="P71" s="794">
        <f>'light, standby'!O15</f>
        <v>0</v>
      </c>
      <c r="Q71" s="794"/>
      <c r="R71" s="795">
        <f>'light, standby'!Q15</f>
        <v>0</v>
      </c>
      <c r="S71" s="795"/>
      <c r="V71" s="19"/>
    </row>
    <row r="72" spans="1:22" s="789" customFormat="1" ht="19.5" customHeight="1">
      <c r="A72" s="41"/>
      <c r="B72"/>
      <c r="C72" s="790">
        <f>'light, standby'!B16</f>
        <v>0</v>
      </c>
      <c r="D72" s="790"/>
      <c r="E72" s="790"/>
      <c r="F72" s="791">
        <f>'light, standby'!L16</f>
        <v>0</v>
      </c>
      <c r="G72" s="792">
        <f>'light, standby'!H16</f>
        <v>0</v>
      </c>
      <c r="H72" s="792"/>
      <c r="I72" s="792"/>
      <c r="J72" s="792"/>
      <c r="K72" s="792"/>
      <c r="L72" s="792"/>
      <c r="M72" s="792"/>
      <c r="N72" s="793">
        <f>'light, standby'!M16</f>
        <v>0</v>
      </c>
      <c r="O72" s="793"/>
      <c r="P72" s="794">
        <f>'light, standby'!O16</f>
        <v>0</v>
      </c>
      <c r="Q72" s="794"/>
      <c r="R72" s="796">
        <f>'light, standby'!Q16</f>
        <v>0</v>
      </c>
      <c r="S72" s="796"/>
      <c r="V72" s="19"/>
    </row>
    <row r="73" spans="1:22" s="789" customFormat="1" ht="19.5" customHeight="1">
      <c r="A73" s="41"/>
      <c r="B73"/>
      <c r="C73" s="790">
        <f>'light, standby'!B17</f>
        <v>0</v>
      </c>
      <c r="D73" s="790"/>
      <c r="E73" s="790"/>
      <c r="F73" s="791">
        <f>'light, standby'!L17</f>
        <v>0</v>
      </c>
      <c r="G73" s="792">
        <f>'light, standby'!H17</f>
        <v>0</v>
      </c>
      <c r="H73" s="792"/>
      <c r="I73" s="792"/>
      <c r="J73" s="792"/>
      <c r="K73" s="792"/>
      <c r="L73" s="792"/>
      <c r="M73" s="792"/>
      <c r="N73" s="793">
        <f>'light, standby'!M17</f>
        <v>0</v>
      </c>
      <c r="O73" s="793"/>
      <c r="P73" s="794">
        <f>'light, standby'!O17</f>
        <v>0</v>
      </c>
      <c r="Q73" s="794"/>
      <c r="R73" s="795">
        <f>'light, standby'!Q17</f>
        <v>0</v>
      </c>
      <c r="S73" s="795"/>
      <c r="V73" s="19"/>
    </row>
    <row r="74" spans="1:22" s="789" customFormat="1" ht="19.5" customHeight="1">
      <c r="A74" s="41"/>
      <c r="B74"/>
      <c r="C74" s="790">
        <f>'light, standby'!B18</f>
        <v>0</v>
      </c>
      <c r="D74" s="790"/>
      <c r="E74" s="790"/>
      <c r="F74" s="791">
        <f>'light, standby'!L18</f>
        <v>0</v>
      </c>
      <c r="G74" s="792">
        <f>'light, standby'!H18</f>
        <v>0</v>
      </c>
      <c r="H74" s="792"/>
      <c r="I74" s="792"/>
      <c r="J74" s="792"/>
      <c r="K74" s="792"/>
      <c r="L74" s="792"/>
      <c r="M74" s="792"/>
      <c r="N74" s="793">
        <f>'light, standby'!M18</f>
        <v>0</v>
      </c>
      <c r="O74" s="793"/>
      <c r="P74" s="794">
        <f>'light, standby'!O18</f>
        <v>0</v>
      </c>
      <c r="Q74" s="794"/>
      <c r="R74" s="795">
        <f>'light, standby'!Q18</f>
        <v>0</v>
      </c>
      <c r="S74" s="795"/>
      <c r="V74" s="19"/>
    </row>
    <row r="75" spans="1:22" s="789" customFormat="1" ht="19.5" customHeight="1">
      <c r="A75" s="41"/>
      <c r="B75"/>
      <c r="C75" s="790">
        <f>'light, standby'!B19</f>
        <v>0</v>
      </c>
      <c r="D75" s="790"/>
      <c r="E75" s="790"/>
      <c r="F75" s="791">
        <f>'light, standby'!L19</f>
        <v>0</v>
      </c>
      <c r="G75" s="792">
        <f>'light, standby'!H19</f>
        <v>0</v>
      </c>
      <c r="H75" s="792"/>
      <c r="I75" s="792"/>
      <c r="J75" s="792"/>
      <c r="K75" s="792"/>
      <c r="L75" s="792"/>
      <c r="M75" s="792"/>
      <c r="N75" s="793">
        <f>'light, standby'!M19</f>
        <v>0</v>
      </c>
      <c r="O75" s="793"/>
      <c r="P75" s="794">
        <f>'light, standby'!O19</f>
        <v>0</v>
      </c>
      <c r="Q75" s="794"/>
      <c r="R75" s="795">
        <f>'light, standby'!Q19</f>
        <v>0</v>
      </c>
      <c r="S75" s="795"/>
      <c r="V75" s="19"/>
    </row>
    <row r="76" spans="1:22" s="789" customFormat="1" ht="19.5" customHeight="1">
      <c r="A76" s="41"/>
      <c r="B76"/>
      <c r="C76" s="790">
        <f>'light, standby'!B20</f>
        <v>0</v>
      </c>
      <c r="D76" s="790"/>
      <c r="E76" s="790"/>
      <c r="F76" s="791">
        <f>'light, standby'!L20</f>
        <v>0</v>
      </c>
      <c r="G76" s="792">
        <f>'light, standby'!H20</f>
        <v>0</v>
      </c>
      <c r="H76" s="792"/>
      <c r="I76" s="792"/>
      <c r="J76" s="792"/>
      <c r="K76" s="792"/>
      <c r="L76" s="792"/>
      <c r="M76" s="792"/>
      <c r="N76" s="793">
        <f>'light, standby'!M20</f>
        <v>0</v>
      </c>
      <c r="O76" s="793"/>
      <c r="P76" s="794">
        <f>'light, standby'!O20</f>
        <v>0</v>
      </c>
      <c r="Q76" s="794"/>
      <c r="R76" s="795">
        <f>'light, standby'!Q20</f>
        <v>0</v>
      </c>
      <c r="S76" s="795"/>
      <c r="V76" s="19"/>
    </row>
    <row r="77" spans="1:22" s="789" customFormat="1" ht="19.5" customHeight="1">
      <c r="A77" s="41"/>
      <c r="B77"/>
      <c r="C77" s="790">
        <f>'light, standby'!B21</f>
        <v>0</v>
      </c>
      <c r="D77" s="790"/>
      <c r="E77" s="790"/>
      <c r="F77" s="791">
        <f>'light, standby'!L21</f>
        <v>0</v>
      </c>
      <c r="G77" s="792">
        <f>'light, standby'!H21</f>
        <v>0</v>
      </c>
      <c r="H77" s="792"/>
      <c r="I77" s="792"/>
      <c r="J77" s="792"/>
      <c r="K77" s="792"/>
      <c r="L77" s="792"/>
      <c r="M77" s="792"/>
      <c r="N77" s="793">
        <f>'light, standby'!M21</f>
        <v>0</v>
      </c>
      <c r="O77" s="793"/>
      <c r="P77" s="794">
        <f>'light, standby'!O21</f>
        <v>0</v>
      </c>
      <c r="Q77" s="794"/>
      <c r="R77" s="795">
        <f>'light, standby'!Q21</f>
        <v>0</v>
      </c>
      <c r="S77" s="795"/>
      <c r="V77" s="19"/>
    </row>
    <row r="78" spans="1:22" s="789" customFormat="1" ht="19.5" customHeight="1">
      <c r="A78" s="41"/>
      <c r="B78"/>
      <c r="C78" s="790">
        <f>'light, standby'!B22</f>
        <v>0</v>
      </c>
      <c r="D78" s="790"/>
      <c r="E78" s="790"/>
      <c r="F78" s="791">
        <f>'light, standby'!L22</f>
        <v>0</v>
      </c>
      <c r="G78" s="792">
        <f>'light, standby'!H22</f>
        <v>0</v>
      </c>
      <c r="H78" s="792"/>
      <c r="I78" s="792"/>
      <c r="J78" s="792"/>
      <c r="K78" s="792"/>
      <c r="L78" s="792"/>
      <c r="M78" s="792"/>
      <c r="N78" s="793">
        <f>'light, standby'!M22</f>
        <v>0</v>
      </c>
      <c r="O78" s="793"/>
      <c r="P78" s="794">
        <f>'light, standby'!O22</f>
        <v>0</v>
      </c>
      <c r="Q78" s="794"/>
      <c r="R78" s="795">
        <f>'light, standby'!Q22</f>
        <v>0</v>
      </c>
      <c r="S78" s="795"/>
      <c r="V78" s="19"/>
    </row>
    <row r="79" spans="1:22" s="789" customFormat="1" ht="19.5" customHeight="1">
      <c r="A79" s="41"/>
      <c r="B79"/>
      <c r="C79" s="790">
        <f>'light, standby'!B23</f>
        <v>0</v>
      </c>
      <c r="D79" s="790"/>
      <c r="E79" s="790"/>
      <c r="F79" s="791">
        <f>'light, standby'!L23</f>
        <v>0</v>
      </c>
      <c r="G79" s="792">
        <f>'light, standby'!H23</f>
        <v>0</v>
      </c>
      <c r="H79" s="792"/>
      <c r="I79" s="792"/>
      <c r="J79" s="792"/>
      <c r="K79" s="792"/>
      <c r="L79" s="792"/>
      <c r="M79" s="792"/>
      <c r="N79" s="793">
        <f>'light, standby'!M23</f>
        <v>0</v>
      </c>
      <c r="O79" s="793"/>
      <c r="P79" s="794">
        <f>'light, standby'!O23</f>
        <v>0</v>
      </c>
      <c r="Q79" s="794"/>
      <c r="R79" s="795">
        <f>'light, standby'!Q23</f>
        <v>0</v>
      </c>
      <c r="S79" s="795"/>
      <c r="V79" s="19"/>
    </row>
    <row r="80" spans="1:22" s="789" customFormat="1" ht="19.5" customHeight="1">
      <c r="A80" s="41"/>
      <c r="B80"/>
      <c r="C80" s="790">
        <f>'light, standby'!B24</f>
        <v>0</v>
      </c>
      <c r="D80" s="790"/>
      <c r="E80" s="790"/>
      <c r="F80" s="791">
        <f>'light, standby'!L24</f>
        <v>0</v>
      </c>
      <c r="G80" s="792">
        <f>'light, standby'!H24</f>
        <v>0</v>
      </c>
      <c r="H80" s="792"/>
      <c r="I80" s="792"/>
      <c r="J80" s="792"/>
      <c r="K80" s="792"/>
      <c r="L80" s="792"/>
      <c r="M80" s="792"/>
      <c r="N80" s="793">
        <f>'light, standby'!M24</f>
        <v>0</v>
      </c>
      <c r="O80" s="793"/>
      <c r="P80" s="794">
        <f>'light, standby'!O24</f>
        <v>0</v>
      </c>
      <c r="Q80" s="794"/>
      <c r="R80" s="795">
        <f>'light, standby'!Q24</f>
        <v>0</v>
      </c>
      <c r="S80" s="795"/>
      <c r="V80" s="19"/>
    </row>
    <row r="81" spans="1:22" s="789" customFormat="1" ht="19.5" customHeight="1" hidden="1">
      <c r="A81" s="41"/>
      <c r="B81"/>
      <c r="C81" s="790">
        <f>'light, standby'!B29</f>
        <v>0</v>
      </c>
      <c r="D81" s="790"/>
      <c r="E81" s="790"/>
      <c r="F81" s="791">
        <f>'light, standby'!L29</f>
        <v>0</v>
      </c>
      <c r="G81" s="792">
        <f>'light, standby'!H29</f>
        <v>0</v>
      </c>
      <c r="H81" s="792"/>
      <c r="I81" s="792"/>
      <c r="J81" s="792"/>
      <c r="K81" s="792"/>
      <c r="L81" s="792"/>
      <c r="M81" s="792"/>
      <c r="N81" s="793">
        <f>'light, standby'!M29</f>
        <v>0</v>
      </c>
      <c r="O81" s="793"/>
      <c r="P81" s="794">
        <f>'light, standby'!O29</f>
        <v>0</v>
      </c>
      <c r="Q81" s="794"/>
      <c r="R81" s="795">
        <f>'light, standby'!Q29</f>
        <v>0</v>
      </c>
      <c r="S81" s="795"/>
      <c r="V81" s="19"/>
    </row>
    <row r="82" spans="1:22" s="789" customFormat="1" ht="21" customHeight="1" hidden="1">
      <c r="A82" s="41"/>
      <c r="B82"/>
      <c r="C82" s="790">
        <f>'light, standby'!B30</f>
        <v>0</v>
      </c>
      <c r="D82" s="790"/>
      <c r="E82" s="790"/>
      <c r="F82" s="791">
        <f>'light, standby'!L30</f>
        <v>0</v>
      </c>
      <c r="G82" s="792">
        <f>'light, standby'!H30</f>
        <v>0</v>
      </c>
      <c r="H82" s="792"/>
      <c r="I82" s="792"/>
      <c r="J82" s="792"/>
      <c r="K82" s="792"/>
      <c r="L82" s="792"/>
      <c r="M82" s="792"/>
      <c r="N82" s="793">
        <f>'light, standby'!M30</f>
        <v>0</v>
      </c>
      <c r="O82" s="793"/>
      <c r="P82" s="794">
        <f>'light, standby'!O30</f>
        <v>0</v>
      </c>
      <c r="Q82" s="794"/>
      <c r="R82" s="796">
        <f>'light, standby'!Q30</f>
        <v>0</v>
      </c>
      <c r="S82" s="796"/>
      <c r="V82" s="19"/>
    </row>
    <row r="83" spans="1:22" s="789" customFormat="1" ht="19.5" customHeight="1" hidden="1">
      <c r="A83" s="41"/>
      <c r="B83"/>
      <c r="C83" s="790">
        <f>'light, standby'!B31</f>
        <v>0</v>
      </c>
      <c r="D83" s="790"/>
      <c r="E83" s="790"/>
      <c r="F83" s="791">
        <f>'light, standby'!L31</f>
        <v>0</v>
      </c>
      <c r="G83" s="792">
        <f>'light, standby'!H31</f>
        <v>0</v>
      </c>
      <c r="H83" s="792"/>
      <c r="I83" s="792"/>
      <c r="J83" s="792"/>
      <c r="K83" s="792"/>
      <c r="L83" s="792"/>
      <c r="M83" s="792"/>
      <c r="N83" s="793">
        <f>'light, standby'!M31</f>
        <v>0</v>
      </c>
      <c r="O83" s="793"/>
      <c r="P83" s="794">
        <f>'light, standby'!O31</f>
        <v>0</v>
      </c>
      <c r="Q83" s="794"/>
      <c r="R83" s="795">
        <f>'light, standby'!Q31</f>
        <v>0</v>
      </c>
      <c r="S83" s="795"/>
      <c r="V83" s="19"/>
    </row>
    <row r="84" spans="1:22" s="789" customFormat="1" ht="19.5" customHeight="1" hidden="1">
      <c r="A84" s="41"/>
      <c r="B84"/>
      <c r="C84" s="790">
        <f>'light, standby'!B32</f>
        <v>0</v>
      </c>
      <c r="D84" s="790"/>
      <c r="E84" s="790"/>
      <c r="F84" s="791">
        <f>'light, standby'!L32</f>
        <v>0</v>
      </c>
      <c r="G84" s="792">
        <f>'light, standby'!H32</f>
        <v>0</v>
      </c>
      <c r="H84" s="792"/>
      <c r="I84" s="792"/>
      <c r="J84" s="792"/>
      <c r="K84" s="792"/>
      <c r="L84" s="792"/>
      <c r="M84" s="792"/>
      <c r="N84" s="793">
        <f>'light, standby'!M32</f>
        <v>0</v>
      </c>
      <c r="O84" s="793"/>
      <c r="P84" s="794">
        <f>'light, standby'!O32</f>
        <v>0</v>
      </c>
      <c r="Q84" s="794"/>
      <c r="R84" s="795">
        <f>'light, standby'!Q32</f>
        <v>0</v>
      </c>
      <c r="S84" s="795"/>
      <c r="V84" s="19"/>
    </row>
    <row r="85" spans="1:22" s="789" customFormat="1" ht="19.5" customHeight="1" hidden="1">
      <c r="A85" s="41"/>
      <c r="B85"/>
      <c r="C85" s="790">
        <f>'light, standby'!B33</f>
        <v>0</v>
      </c>
      <c r="D85" s="790"/>
      <c r="E85" s="790"/>
      <c r="F85" s="791">
        <f>'light, standby'!L33</f>
        <v>0</v>
      </c>
      <c r="G85" s="792">
        <f>'light, standby'!H33</f>
        <v>0</v>
      </c>
      <c r="H85" s="792"/>
      <c r="I85" s="792"/>
      <c r="J85" s="792"/>
      <c r="K85" s="792"/>
      <c r="L85" s="792"/>
      <c r="M85" s="792"/>
      <c r="N85" s="793">
        <f>'light, standby'!M33</f>
        <v>0</v>
      </c>
      <c r="O85" s="793"/>
      <c r="P85" s="794">
        <f>'light, standby'!O33</f>
        <v>0</v>
      </c>
      <c r="Q85" s="794"/>
      <c r="R85" s="795">
        <f>'light, standby'!Q33</f>
        <v>0</v>
      </c>
      <c r="S85" s="795"/>
      <c r="V85" s="19"/>
    </row>
    <row r="86" spans="1:22" s="789" customFormat="1" ht="19.5" customHeight="1" hidden="1">
      <c r="A86" s="41"/>
      <c r="B86"/>
      <c r="C86" s="790">
        <f>'light, standby'!B34</f>
        <v>0</v>
      </c>
      <c r="D86" s="790"/>
      <c r="E86" s="790"/>
      <c r="F86" s="791">
        <f>'light, standby'!L34</f>
        <v>0</v>
      </c>
      <c r="G86" s="792">
        <f>'light, standby'!H34</f>
        <v>0</v>
      </c>
      <c r="H86" s="792"/>
      <c r="I86" s="792"/>
      <c r="J86" s="792"/>
      <c r="K86" s="792"/>
      <c r="L86" s="792"/>
      <c r="M86" s="792"/>
      <c r="N86" s="793">
        <f>'light, standby'!M34</f>
        <v>0</v>
      </c>
      <c r="O86" s="793"/>
      <c r="P86" s="794">
        <f>'light, standby'!O34</f>
        <v>0</v>
      </c>
      <c r="Q86" s="794"/>
      <c r="R86" s="795">
        <f>'light, standby'!Q34</f>
        <v>0</v>
      </c>
      <c r="S86" s="795"/>
      <c r="V86" s="19"/>
    </row>
    <row r="87" spans="1:22" s="789" customFormat="1" ht="19.5" customHeight="1" hidden="1">
      <c r="A87" s="41"/>
      <c r="B87"/>
      <c r="C87" s="790">
        <f>'light, standby'!B35</f>
        <v>0</v>
      </c>
      <c r="D87" s="790"/>
      <c r="E87" s="790"/>
      <c r="F87" s="791">
        <f>'light, standby'!L35</f>
        <v>0</v>
      </c>
      <c r="G87" s="792">
        <f>'light, standby'!H35</f>
        <v>0</v>
      </c>
      <c r="H87" s="792"/>
      <c r="I87" s="792"/>
      <c r="J87" s="792"/>
      <c r="K87" s="792"/>
      <c r="L87" s="792"/>
      <c r="M87" s="792"/>
      <c r="N87" s="793">
        <f>'light, standby'!M35</f>
        <v>0</v>
      </c>
      <c r="O87" s="793"/>
      <c r="P87" s="794">
        <f>'light, standby'!O35</f>
        <v>0</v>
      </c>
      <c r="Q87" s="794"/>
      <c r="R87" s="795">
        <f>'light, standby'!Q35</f>
        <v>0</v>
      </c>
      <c r="S87" s="795"/>
      <c r="V87" s="19"/>
    </row>
    <row r="88" spans="1:22" s="789" customFormat="1" ht="19.5" customHeight="1" hidden="1">
      <c r="A88" s="41"/>
      <c r="B88"/>
      <c r="C88" s="790">
        <f>'light, standby'!B36</f>
        <v>0</v>
      </c>
      <c r="D88" s="790"/>
      <c r="E88" s="790"/>
      <c r="F88" s="791">
        <f>'light, standby'!L36</f>
        <v>0</v>
      </c>
      <c r="G88" s="792">
        <f>'light, standby'!H36</f>
        <v>0</v>
      </c>
      <c r="H88" s="792"/>
      <c r="I88" s="792"/>
      <c r="J88" s="792"/>
      <c r="K88" s="792"/>
      <c r="L88" s="792"/>
      <c r="M88" s="792"/>
      <c r="N88" s="793">
        <f>'light, standby'!M36</f>
        <v>0</v>
      </c>
      <c r="O88" s="793"/>
      <c r="P88" s="794">
        <f>'light, standby'!O36</f>
        <v>0</v>
      </c>
      <c r="Q88" s="794"/>
      <c r="R88" s="795">
        <f>'light, standby'!Q36</f>
        <v>0</v>
      </c>
      <c r="S88" s="795"/>
      <c r="V88" s="19"/>
    </row>
    <row r="89" spans="1:22" s="789" customFormat="1" ht="19.5" customHeight="1" hidden="1">
      <c r="A89" s="41"/>
      <c r="B89"/>
      <c r="C89" s="790">
        <f>'light, standby'!B37</f>
        <v>0</v>
      </c>
      <c r="D89" s="790"/>
      <c r="E89" s="790"/>
      <c r="F89" s="791">
        <f>'light, standby'!L37</f>
        <v>0</v>
      </c>
      <c r="G89" s="792">
        <f>'light, standby'!H37</f>
        <v>0</v>
      </c>
      <c r="H89" s="792"/>
      <c r="I89" s="792"/>
      <c r="J89" s="792"/>
      <c r="K89" s="792"/>
      <c r="L89" s="792"/>
      <c r="M89" s="792"/>
      <c r="N89" s="793">
        <f>'light, standby'!M37</f>
        <v>0</v>
      </c>
      <c r="O89" s="793"/>
      <c r="P89" s="794">
        <f>'light, standby'!O37</f>
        <v>0</v>
      </c>
      <c r="Q89" s="794"/>
      <c r="R89" s="795">
        <f>'light, standby'!Q37</f>
        <v>0</v>
      </c>
      <c r="S89" s="795"/>
      <c r="V89" s="19"/>
    </row>
    <row r="90" spans="1:22" s="789" customFormat="1" ht="19.5" customHeight="1" hidden="1">
      <c r="A90" s="41"/>
      <c r="B90"/>
      <c r="C90" s="790">
        <f>'light, standby'!B38</f>
        <v>0</v>
      </c>
      <c r="D90" s="790"/>
      <c r="E90" s="790"/>
      <c r="F90" s="791">
        <f>'light, standby'!L38</f>
        <v>0</v>
      </c>
      <c r="G90" s="792">
        <f>'light, standby'!H38</f>
        <v>0</v>
      </c>
      <c r="H90" s="792"/>
      <c r="I90" s="792"/>
      <c r="J90" s="792"/>
      <c r="K90" s="792"/>
      <c r="L90" s="792"/>
      <c r="M90" s="792"/>
      <c r="N90" s="793">
        <f>'light, standby'!M38</f>
        <v>0</v>
      </c>
      <c r="O90" s="793"/>
      <c r="P90" s="794">
        <f>'light, standby'!O38</f>
        <v>0</v>
      </c>
      <c r="Q90" s="794"/>
      <c r="R90" s="795">
        <f>'light, standby'!Q38</f>
        <v>0</v>
      </c>
      <c r="S90" s="795"/>
      <c r="V90" s="19"/>
    </row>
    <row r="91" spans="1:22" s="789" customFormat="1" ht="19.5" customHeight="1" hidden="1">
      <c r="A91" s="41"/>
      <c r="B91"/>
      <c r="C91" s="790">
        <f>'light, standby'!B43</f>
        <v>0</v>
      </c>
      <c r="D91" s="790"/>
      <c r="E91" s="790"/>
      <c r="F91" s="791">
        <f>'light, standby'!L43</f>
        <v>0</v>
      </c>
      <c r="G91" s="792">
        <f>'light, standby'!H43</f>
        <v>0</v>
      </c>
      <c r="H91" s="792"/>
      <c r="I91" s="792"/>
      <c r="J91" s="792"/>
      <c r="K91" s="792"/>
      <c r="L91" s="792"/>
      <c r="M91" s="792"/>
      <c r="N91" s="793">
        <f>'light, standby'!M43</f>
        <v>0</v>
      </c>
      <c r="O91" s="793"/>
      <c r="P91" s="794">
        <f>'light, standby'!O43</f>
        <v>0</v>
      </c>
      <c r="Q91" s="794"/>
      <c r="R91" s="795">
        <f>'light, standby'!Q43</f>
        <v>0</v>
      </c>
      <c r="S91" s="795"/>
      <c r="V91" s="19"/>
    </row>
    <row r="92" spans="1:22" s="789" customFormat="1" ht="19.5" customHeight="1" hidden="1">
      <c r="A92" s="41"/>
      <c r="B92"/>
      <c r="C92" s="790">
        <f>'light, standby'!B44</f>
        <v>0</v>
      </c>
      <c r="D92" s="790"/>
      <c r="E92" s="790"/>
      <c r="F92" s="791">
        <f>'light, standby'!L44</f>
        <v>0</v>
      </c>
      <c r="G92" s="792">
        <f>'light, standby'!H44</f>
        <v>0</v>
      </c>
      <c r="H92" s="792"/>
      <c r="I92" s="792"/>
      <c r="J92" s="792"/>
      <c r="K92" s="792"/>
      <c r="L92" s="792"/>
      <c r="M92" s="792"/>
      <c r="N92" s="793">
        <f>'light, standby'!M44</f>
        <v>0</v>
      </c>
      <c r="O92" s="793"/>
      <c r="P92" s="794">
        <f>'light, standby'!O44</f>
        <v>0</v>
      </c>
      <c r="Q92" s="794"/>
      <c r="R92" s="795">
        <f>'light, standby'!Q44</f>
        <v>0</v>
      </c>
      <c r="S92" s="795"/>
      <c r="V92" s="19"/>
    </row>
    <row r="93" spans="1:22" s="789" customFormat="1" ht="19.5" customHeight="1" hidden="1">
      <c r="A93" s="41"/>
      <c r="B93"/>
      <c r="C93" s="790">
        <f>'light, standby'!B45</f>
        <v>0</v>
      </c>
      <c r="D93" s="790"/>
      <c r="E93" s="790"/>
      <c r="F93" s="791">
        <f>'light, standby'!L45</f>
        <v>0</v>
      </c>
      <c r="G93" s="792">
        <f>'light, standby'!H45</f>
        <v>0</v>
      </c>
      <c r="H93" s="792"/>
      <c r="I93" s="792"/>
      <c r="J93" s="792"/>
      <c r="K93" s="792"/>
      <c r="L93" s="792"/>
      <c r="M93" s="792"/>
      <c r="N93" s="793">
        <f>'light, standby'!M45</f>
        <v>0</v>
      </c>
      <c r="O93" s="793"/>
      <c r="P93" s="794">
        <f>'light, standby'!O45</f>
        <v>0</v>
      </c>
      <c r="Q93" s="794"/>
      <c r="R93" s="795">
        <f>'light, standby'!Q45</f>
        <v>0</v>
      </c>
      <c r="S93" s="795"/>
      <c r="V93" s="19"/>
    </row>
    <row r="94" spans="1:22" s="789" customFormat="1" ht="19.5" customHeight="1" hidden="1">
      <c r="A94" s="41"/>
      <c r="B94"/>
      <c r="C94" s="790">
        <f>'light, standby'!B46</f>
        <v>0</v>
      </c>
      <c r="D94" s="790"/>
      <c r="E94" s="790"/>
      <c r="F94" s="791">
        <f>'light, standby'!L46</f>
        <v>0</v>
      </c>
      <c r="G94" s="792">
        <f>'light, standby'!H46</f>
        <v>0</v>
      </c>
      <c r="H94" s="792"/>
      <c r="I94" s="792"/>
      <c r="J94" s="792"/>
      <c r="K94" s="792"/>
      <c r="L94" s="792"/>
      <c r="M94" s="792"/>
      <c r="N94" s="793">
        <f>'light, standby'!M46</f>
        <v>0</v>
      </c>
      <c r="O94" s="793"/>
      <c r="P94" s="794">
        <f>'light, standby'!O46</f>
        <v>0</v>
      </c>
      <c r="Q94" s="794"/>
      <c r="R94" s="795">
        <f>'light, standby'!Q46</f>
        <v>0</v>
      </c>
      <c r="S94" s="795"/>
      <c r="V94" s="19"/>
    </row>
    <row r="95" spans="1:22" s="789" customFormat="1" ht="19.5" customHeight="1" hidden="1">
      <c r="A95" s="41"/>
      <c r="B95"/>
      <c r="C95" s="790">
        <f>'light, standby'!B47</f>
        <v>0</v>
      </c>
      <c r="D95" s="790"/>
      <c r="E95" s="790"/>
      <c r="F95" s="791">
        <f>'light, standby'!L47</f>
        <v>0</v>
      </c>
      <c r="G95" s="792">
        <f>'light, standby'!H47</f>
        <v>0</v>
      </c>
      <c r="H95" s="792"/>
      <c r="I95" s="792"/>
      <c r="J95" s="792"/>
      <c r="K95" s="792"/>
      <c r="L95" s="792"/>
      <c r="M95" s="792"/>
      <c r="N95" s="793">
        <f>'light, standby'!M47</f>
        <v>0</v>
      </c>
      <c r="O95" s="793"/>
      <c r="P95" s="794">
        <f>'light, standby'!O47</f>
        <v>0</v>
      </c>
      <c r="Q95" s="794"/>
      <c r="R95" s="795">
        <f>'light, standby'!Q47</f>
        <v>0</v>
      </c>
      <c r="S95" s="795"/>
      <c r="V95" s="19"/>
    </row>
    <row r="96" spans="1:22" s="789" customFormat="1" ht="19.5" customHeight="1" hidden="1">
      <c r="A96" s="41"/>
      <c r="B96"/>
      <c r="C96" s="790">
        <f>'light, standby'!B48</f>
        <v>0</v>
      </c>
      <c r="D96" s="790"/>
      <c r="E96" s="790"/>
      <c r="F96" s="791">
        <f>'light, standby'!L48</f>
        <v>0</v>
      </c>
      <c r="G96" s="792">
        <f>'light, standby'!H48</f>
        <v>0</v>
      </c>
      <c r="H96" s="792"/>
      <c r="I96" s="792"/>
      <c r="J96" s="792"/>
      <c r="K96" s="792"/>
      <c r="L96" s="792"/>
      <c r="M96" s="792"/>
      <c r="N96" s="793">
        <f>'light, standby'!M48</f>
        <v>0</v>
      </c>
      <c r="O96" s="793"/>
      <c r="P96" s="794">
        <f>'light, standby'!O48</f>
        <v>0</v>
      </c>
      <c r="Q96" s="794"/>
      <c r="R96" s="795">
        <f>'light, standby'!Q48</f>
        <v>0</v>
      </c>
      <c r="S96" s="795"/>
      <c r="V96" s="19"/>
    </row>
    <row r="97" spans="1:22" s="789" customFormat="1" ht="19.5" customHeight="1" hidden="1">
      <c r="A97" s="41"/>
      <c r="B97"/>
      <c r="C97" s="790">
        <f>'light, standby'!B49</f>
        <v>0</v>
      </c>
      <c r="D97" s="790"/>
      <c r="E97" s="790"/>
      <c r="F97" s="791">
        <f>'light, standby'!L49</f>
        <v>0</v>
      </c>
      <c r="G97" s="792">
        <f>'light, standby'!H49</f>
        <v>0</v>
      </c>
      <c r="H97" s="792"/>
      <c r="I97" s="792"/>
      <c r="J97" s="792"/>
      <c r="K97" s="792"/>
      <c r="L97" s="792"/>
      <c r="M97" s="792"/>
      <c r="N97" s="793">
        <f>'light, standby'!M49</f>
        <v>0</v>
      </c>
      <c r="O97" s="793"/>
      <c r="P97" s="794">
        <f>'light, standby'!O49</f>
        <v>0</v>
      </c>
      <c r="Q97" s="794"/>
      <c r="R97" s="795">
        <f>'light, standby'!Q49</f>
        <v>0</v>
      </c>
      <c r="S97" s="795"/>
      <c r="V97" s="19"/>
    </row>
    <row r="98" spans="1:22" s="789" customFormat="1" ht="19.5" customHeight="1" hidden="1">
      <c r="A98" s="41"/>
      <c r="B98"/>
      <c r="C98" s="790">
        <f>'light, standby'!B50</f>
        <v>0</v>
      </c>
      <c r="D98" s="790"/>
      <c r="E98" s="790"/>
      <c r="F98" s="791">
        <f>'light, standby'!L50</f>
        <v>0</v>
      </c>
      <c r="G98" s="792">
        <f>'light, standby'!H50</f>
        <v>0</v>
      </c>
      <c r="H98" s="792"/>
      <c r="I98" s="792"/>
      <c r="J98" s="792"/>
      <c r="K98" s="792"/>
      <c r="L98" s="792"/>
      <c r="M98" s="792"/>
      <c r="N98" s="793">
        <f>'light, standby'!M50</f>
        <v>0</v>
      </c>
      <c r="O98" s="793"/>
      <c r="P98" s="794">
        <f>'light, standby'!O50</f>
        <v>0</v>
      </c>
      <c r="Q98" s="794"/>
      <c r="R98" s="795">
        <f>'light, standby'!Q50</f>
        <v>0</v>
      </c>
      <c r="S98" s="795"/>
      <c r="V98" s="19"/>
    </row>
    <row r="99" spans="1:22" s="789" customFormat="1" ht="19.5" customHeight="1" hidden="1">
      <c r="A99" s="41"/>
      <c r="B99"/>
      <c r="C99" s="790">
        <f>'light, standby'!B51</f>
        <v>0</v>
      </c>
      <c r="D99" s="790"/>
      <c r="E99" s="790"/>
      <c r="F99" s="791">
        <f>'light, standby'!L51</f>
        <v>0</v>
      </c>
      <c r="G99" s="792">
        <f>'light, standby'!H51</f>
        <v>0</v>
      </c>
      <c r="H99" s="792"/>
      <c r="I99" s="792"/>
      <c r="J99" s="792"/>
      <c r="K99" s="792"/>
      <c r="L99" s="792"/>
      <c r="M99" s="792"/>
      <c r="N99" s="793">
        <f>'light, standby'!M51</f>
        <v>0</v>
      </c>
      <c r="O99" s="793"/>
      <c r="P99" s="794">
        <f>'light, standby'!O51</f>
        <v>0</v>
      </c>
      <c r="Q99" s="794"/>
      <c r="R99" s="795">
        <f>'light, standby'!Q51</f>
        <v>0</v>
      </c>
      <c r="S99" s="795"/>
      <c r="V99" s="19"/>
    </row>
    <row r="100" spans="1:22" s="789" customFormat="1" ht="19.5" customHeight="1" hidden="1">
      <c r="A100" s="41"/>
      <c r="B100"/>
      <c r="C100" s="790">
        <f>'light, standby'!B52</f>
        <v>0</v>
      </c>
      <c r="D100" s="790"/>
      <c r="E100" s="790"/>
      <c r="F100" s="791">
        <f>'light, standby'!L52</f>
        <v>0</v>
      </c>
      <c r="G100" s="792">
        <f>'light, standby'!H52</f>
        <v>0</v>
      </c>
      <c r="H100" s="792"/>
      <c r="I100" s="792"/>
      <c r="J100" s="792"/>
      <c r="K100" s="792"/>
      <c r="L100" s="792"/>
      <c r="M100" s="792"/>
      <c r="N100" s="793">
        <f>'light, standby'!M52</f>
        <v>0</v>
      </c>
      <c r="O100" s="793"/>
      <c r="P100" s="794">
        <f>'light, standby'!O52</f>
        <v>0</v>
      </c>
      <c r="Q100" s="794"/>
      <c r="R100" s="795">
        <f>'light, standby'!Q52</f>
        <v>0</v>
      </c>
      <c r="S100" s="795"/>
      <c r="V100" s="19"/>
    </row>
    <row r="101" spans="1:22" s="789" customFormat="1" ht="19.5" customHeight="1" hidden="1">
      <c r="A101" s="41"/>
      <c r="B101"/>
      <c r="C101" s="790">
        <f>'light, standby'!B57</f>
        <v>0</v>
      </c>
      <c r="D101" s="790"/>
      <c r="E101" s="790"/>
      <c r="F101" s="791">
        <f>'light, standby'!L57</f>
        <v>0</v>
      </c>
      <c r="G101" s="792">
        <f>'light, standby'!H57</f>
        <v>0</v>
      </c>
      <c r="H101" s="792"/>
      <c r="I101" s="792"/>
      <c r="J101" s="792"/>
      <c r="K101" s="792"/>
      <c r="L101" s="792"/>
      <c r="M101" s="792"/>
      <c r="N101" s="793">
        <f>'light, standby'!M57</f>
        <v>0</v>
      </c>
      <c r="O101" s="793"/>
      <c r="P101" s="794">
        <f>'light, standby'!O57</f>
        <v>0</v>
      </c>
      <c r="Q101" s="794"/>
      <c r="R101" s="795">
        <f>'light, standby'!Q57</f>
        <v>0</v>
      </c>
      <c r="S101" s="795"/>
      <c r="V101" s="19"/>
    </row>
    <row r="102" spans="1:22" s="789" customFormat="1" ht="19.5" customHeight="1" hidden="1">
      <c r="A102" s="41"/>
      <c r="B102"/>
      <c r="C102" s="790">
        <f>'light, standby'!B58</f>
        <v>0</v>
      </c>
      <c r="D102" s="790"/>
      <c r="E102" s="790"/>
      <c r="F102" s="791">
        <f>'light, standby'!L58</f>
        <v>0</v>
      </c>
      <c r="G102" s="792">
        <f>'light, standby'!H58</f>
        <v>0</v>
      </c>
      <c r="H102" s="792"/>
      <c r="I102" s="792"/>
      <c r="J102" s="792"/>
      <c r="K102" s="792"/>
      <c r="L102" s="792"/>
      <c r="M102" s="792"/>
      <c r="N102" s="793">
        <f>'light, standby'!M58</f>
        <v>0</v>
      </c>
      <c r="O102" s="793"/>
      <c r="P102" s="794">
        <f>'light, standby'!O58</f>
        <v>0</v>
      </c>
      <c r="Q102" s="794"/>
      <c r="R102" s="795">
        <f>'light, standby'!Q58</f>
        <v>0</v>
      </c>
      <c r="S102" s="795"/>
      <c r="V102" s="19"/>
    </row>
    <row r="103" spans="1:22" s="789" customFormat="1" ht="19.5" customHeight="1" hidden="1">
      <c r="A103" s="41"/>
      <c r="B103"/>
      <c r="C103" s="790">
        <f>'light, standby'!B59</f>
        <v>0</v>
      </c>
      <c r="D103" s="790"/>
      <c r="E103" s="790"/>
      <c r="F103" s="791">
        <f>'light, standby'!L59</f>
        <v>0</v>
      </c>
      <c r="G103" s="792">
        <f>'light, standby'!H59</f>
        <v>0</v>
      </c>
      <c r="H103" s="792"/>
      <c r="I103" s="792"/>
      <c r="J103" s="792"/>
      <c r="K103" s="792"/>
      <c r="L103" s="792"/>
      <c r="M103" s="792"/>
      <c r="N103" s="793">
        <f>'light, standby'!M59</f>
        <v>0</v>
      </c>
      <c r="O103" s="793"/>
      <c r="P103" s="794">
        <f>'light, standby'!O59</f>
        <v>0</v>
      </c>
      <c r="Q103" s="794"/>
      <c r="R103" s="795">
        <f>'light, standby'!Q59</f>
        <v>0</v>
      </c>
      <c r="S103" s="795"/>
      <c r="V103" s="19"/>
    </row>
    <row r="104" spans="1:22" s="789" customFormat="1" ht="19.5" customHeight="1" hidden="1">
      <c r="A104" s="41"/>
      <c r="B104"/>
      <c r="C104" s="790">
        <f>'light, standby'!B60</f>
        <v>0</v>
      </c>
      <c r="D104" s="790"/>
      <c r="E104" s="790"/>
      <c r="F104" s="791">
        <f>'light, standby'!L60</f>
        <v>0</v>
      </c>
      <c r="G104" s="792">
        <f>'light, standby'!H60</f>
        <v>0</v>
      </c>
      <c r="H104" s="792"/>
      <c r="I104" s="792"/>
      <c r="J104" s="792"/>
      <c r="K104" s="792"/>
      <c r="L104" s="792"/>
      <c r="M104" s="792"/>
      <c r="N104" s="793">
        <f>'light, standby'!M60</f>
        <v>0</v>
      </c>
      <c r="O104" s="793"/>
      <c r="P104" s="794">
        <f>'light, standby'!O60</f>
        <v>0</v>
      </c>
      <c r="Q104" s="794"/>
      <c r="R104" s="795">
        <f>'light, standby'!Q60</f>
        <v>0</v>
      </c>
      <c r="S104" s="795"/>
      <c r="V104" s="19"/>
    </row>
    <row r="105" spans="1:22" s="789" customFormat="1" ht="19.5" customHeight="1" hidden="1">
      <c r="A105" s="41"/>
      <c r="B105"/>
      <c r="C105" s="790">
        <f>'light, standby'!B61</f>
        <v>0</v>
      </c>
      <c r="D105" s="790"/>
      <c r="E105" s="790"/>
      <c r="F105" s="791">
        <f>'light, standby'!L61</f>
        <v>0</v>
      </c>
      <c r="G105" s="792">
        <f>'light, standby'!H61</f>
        <v>0</v>
      </c>
      <c r="H105" s="792"/>
      <c r="I105" s="792"/>
      <c r="J105" s="792"/>
      <c r="K105" s="792"/>
      <c r="L105" s="792"/>
      <c r="M105" s="792"/>
      <c r="N105" s="793">
        <f>'light, standby'!M61</f>
        <v>0</v>
      </c>
      <c r="O105" s="793"/>
      <c r="P105" s="794">
        <f>'light, standby'!O61</f>
        <v>0</v>
      </c>
      <c r="Q105" s="794"/>
      <c r="R105" s="795">
        <f>'light, standby'!Q61</f>
        <v>0</v>
      </c>
      <c r="S105" s="795"/>
      <c r="V105" s="19"/>
    </row>
    <row r="106" spans="1:22" s="789" customFormat="1" ht="19.5" customHeight="1" hidden="1">
      <c r="A106" s="41"/>
      <c r="B106"/>
      <c r="C106" s="790">
        <f>'light, standby'!B62</f>
        <v>0</v>
      </c>
      <c r="D106" s="790"/>
      <c r="E106" s="790"/>
      <c r="F106" s="791">
        <f>'light, standby'!L62</f>
        <v>0</v>
      </c>
      <c r="G106" s="792">
        <f>'light, standby'!H62</f>
        <v>0</v>
      </c>
      <c r="H106" s="792"/>
      <c r="I106" s="792"/>
      <c r="J106" s="792"/>
      <c r="K106" s="792"/>
      <c r="L106" s="792"/>
      <c r="M106" s="792"/>
      <c r="N106" s="793">
        <f>'light, standby'!M62</f>
        <v>0</v>
      </c>
      <c r="O106" s="793"/>
      <c r="P106" s="794">
        <f>'light, standby'!O62</f>
        <v>0</v>
      </c>
      <c r="Q106" s="794"/>
      <c r="R106" s="795">
        <f>'light, standby'!Q62</f>
        <v>0</v>
      </c>
      <c r="S106" s="795"/>
      <c r="V106" s="19"/>
    </row>
    <row r="107" spans="1:22" s="789" customFormat="1" ht="19.5" customHeight="1" hidden="1">
      <c r="A107" s="41"/>
      <c r="B107"/>
      <c r="C107" s="790">
        <f>'light, standby'!B63</f>
        <v>0</v>
      </c>
      <c r="D107" s="790"/>
      <c r="E107" s="790"/>
      <c r="F107" s="791">
        <f>'light, standby'!L63</f>
        <v>0</v>
      </c>
      <c r="G107" s="792">
        <f>'light, standby'!H63</f>
        <v>0</v>
      </c>
      <c r="H107" s="792"/>
      <c r="I107" s="792"/>
      <c r="J107" s="792"/>
      <c r="K107" s="792"/>
      <c r="L107" s="792"/>
      <c r="M107" s="792"/>
      <c r="N107" s="793">
        <f>'light, standby'!M63</f>
        <v>0</v>
      </c>
      <c r="O107" s="793"/>
      <c r="P107" s="794">
        <f>'light, standby'!O63</f>
        <v>0</v>
      </c>
      <c r="Q107" s="794"/>
      <c r="R107" s="795">
        <f>'light, standby'!Q63</f>
        <v>0</v>
      </c>
      <c r="S107" s="795"/>
      <c r="V107" s="19"/>
    </row>
    <row r="108" spans="1:22" s="789" customFormat="1" ht="19.5" customHeight="1" hidden="1">
      <c r="A108" s="41"/>
      <c r="B108"/>
      <c r="C108" s="790">
        <f>'light, standby'!B64</f>
        <v>0</v>
      </c>
      <c r="D108" s="790"/>
      <c r="E108" s="790"/>
      <c r="F108" s="791">
        <f>'light, standby'!L64</f>
        <v>0</v>
      </c>
      <c r="G108" s="792">
        <f>'light, standby'!H64</f>
        <v>0</v>
      </c>
      <c r="H108" s="792"/>
      <c r="I108" s="792"/>
      <c r="J108" s="792"/>
      <c r="K108" s="792"/>
      <c r="L108" s="792"/>
      <c r="M108" s="792"/>
      <c r="N108" s="793">
        <f>'light, standby'!M64</f>
        <v>0</v>
      </c>
      <c r="O108" s="793"/>
      <c r="P108" s="794">
        <f>'light, standby'!O64</f>
        <v>0</v>
      </c>
      <c r="Q108" s="794"/>
      <c r="R108" s="795">
        <f>'light, standby'!Q64</f>
        <v>0</v>
      </c>
      <c r="S108" s="795"/>
      <c r="V108" s="19"/>
    </row>
    <row r="109" spans="1:22" s="789" customFormat="1" ht="19.5" customHeight="1" hidden="1">
      <c r="A109" s="41"/>
      <c r="B109"/>
      <c r="C109" s="790">
        <f>'light, standby'!B65</f>
        <v>0</v>
      </c>
      <c r="D109" s="790"/>
      <c r="E109" s="790"/>
      <c r="F109" s="791">
        <f>'light, standby'!L65</f>
        <v>0</v>
      </c>
      <c r="G109" s="792">
        <f>'light, standby'!H65</f>
        <v>0</v>
      </c>
      <c r="H109" s="792"/>
      <c r="I109" s="792"/>
      <c r="J109" s="792"/>
      <c r="K109" s="792"/>
      <c r="L109" s="792"/>
      <c r="M109" s="792"/>
      <c r="N109" s="793">
        <f>'light, standby'!M65</f>
        <v>0</v>
      </c>
      <c r="O109" s="793"/>
      <c r="P109" s="794">
        <f>'light, standby'!O65</f>
        <v>0</v>
      </c>
      <c r="Q109" s="794"/>
      <c r="R109" s="795">
        <f>'light, standby'!Q65</f>
        <v>0</v>
      </c>
      <c r="S109" s="795"/>
      <c r="V109" s="19"/>
    </row>
    <row r="110" spans="1:22" s="789" customFormat="1" ht="19.5" customHeight="1" hidden="1">
      <c r="A110" s="41"/>
      <c r="B110"/>
      <c r="C110" s="790">
        <f>'light, standby'!B66</f>
        <v>0</v>
      </c>
      <c r="D110" s="790"/>
      <c r="E110" s="790"/>
      <c r="F110" s="791">
        <f>'light, standby'!L66</f>
        <v>0</v>
      </c>
      <c r="G110" s="792">
        <f>'light, standby'!H66</f>
        <v>0</v>
      </c>
      <c r="H110" s="792"/>
      <c r="I110" s="792"/>
      <c r="J110" s="792"/>
      <c r="K110" s="792"/>
      <c r="L110" s="792"/>
      <c r="M110" s="792"/>
      <c r="N110" s="793">
        <f>'light, standby'!M66</f>
        <v>0</v>
      </c>
      <c r="O110" s="793"/>
      <c r="P110" s="794">
        <f>'light, standby'!O66</f>
        <v>0</v>
      </c>
      <c r="Q110" s="794"/>
      <c r="R110" s="795">
        <f>'light, standby'!Q66</f>
        <v>0</v>
      </c>
      <c r="S110" s="795"/>
      <c r="V110" s="19"/>
    </row>
    <row r="111" spans="1:22" s="789" customFormat="1" ht="21.75" customHeight="1">
      <c r="A111" s="41"/>
      <c r="B111"/>
      <c r="C111" s="797" t="s">
        <v>268</v>
      </c>
      <c r="D111" s="797"/>
      <c r="E111" s="797"/>
      <c r="F111" s="797"/>
      <c r="G111" s="797"/>
      <c r="H111" s="797"/>
      <c r="I111" s="797"/>
      <c r="J111" s="797"/>
      <c r="K111" s="797"/>
      <c r="L111" s="797"/>
      <c r="M111" s="797"/>
      <c r="N111" s="798">
        <f>SUM(N71:O110)</f>
        <v>0</v>
      </c>
      <c r="O111" s="798"/>
      <c r="P111" s="799">
        <f>SUM(P71:Q110)</f>
        <v>0</v>
      </c>
      <c r="Q111" s="799"/>
      <c r="R111" s="800">
        <f>SUM(R71:S110)</f>
        <v>0</v>
      </c>
      <c r="S111" s="800"/>
      <c r="V111" s="19"/>
    </row>
    <row r="112" spans="1:22" s="789" customFormat="1" ht="21" customHeight="1" hidden="1">
      <c r="A112" s="41"/>
      <c r="B112"/>
      <c r="C112" s="801">
        <f>'light, standby'!B69</f>
        <v>0</v>
      </c>
      <c r="D112"/>
      <c r="E112"/>
      <c r="F112"/>
      <c r="G112"/>
      <c r="H112"/>
      <c r="I112"/>
      <c r="J112"/>
      <c r="K112"/>
      <c r="L112"/>
      <c r="M112"/>
      <c r="N112"/>
      <c r="O112"/>
      <c r="P112"/>
      <c r="Q112"/>
      <c r="R112"/>
      <c r="S112"/>
      <c r="V112" s="19"/>
    </row>
    <row r="113" spans="1:22" s="789" customFormat="1" ht="19.5" customHeight="1" hidden="1">
      <c r="A113" s="41"/>
      <c r="B113" s="1"/>
      <c r="C113" s="802">
        <f>'light, standby'!B70</f>
        <v>0</v>
      </c>
      <c r="D113" s="802"/>
      <c r="E113" s="802"/>
      <c r="F113" s="802"/>
      <c r="G113" s="802"/>
      <c r="H113" s="802"/>
      <c r="I113" s="802"/>
      <c r="J113" s="802"/>
      <c r="K113" s="802"/>
      <c r="L113" s="802"/>
      <c r="M113" s="802"/>
      <c r="N113" s="802"/>
      <c r="O113" s="802"/>
      <c r="P113" s="802"/>
      <c r="Q113" s="802"/>
      <c r="R113" s="802"/>
      <c r="S113" s="802"/>
      <c r="T113" s="803"/>
      <c r="V113" s="19"/>
    </row>
    <row r="114" spans="1:22" s="789" customFormat="1" ht="19.5" customHeight="1" hidden="1">
      <c r="A114" s="41"/>
      <c r="B114" s="1"/>
      <c r="C114" s="802">
        <f>'light, standby'!B71</f>
        <v>0</v>
      </c>
      <c r="D114" s="802"/>
      <c r="E114" s="802"/>
      <c r="F114" s="802"/>
      <c r="G114" s="802"/>
      <c r="H114" s="802"/>
      <c r="I114" s="802"/>
      <c r="J114" s="802"/>
      <c r="K114" s="802"/>
      <c r="L114" s="802"/>
      <c r="M114" s="802"/>
      <c r="N114" s="802"/>
      <c r="O114" s="802"/>
      <c r="P114" s="802"/>
      <c r="Q114" s="802"/>
      <c r="R114" s="802"/>
      <c r="S114" s="802"/>
      <c r="T114"/>
      <c r="V114" s="19"/>
    </row>
    <row r="115" spans="1:22" s="789" customFormat="1" ht="59.25" customHeight="1">
      <c r="A115" s="41"/>
      <c r="B115" s="1"/>
      <c r="C115" s="804"/>
      <c r="D115" s="805"/>
      <c r="E115" s="805"/>
      <c r="F115" s="805"/>
      <c r="G115" s="805"/>
      <c r="H115" s="805"/>
      <c r="I115" s="805"/>
      <c r="J115" s="805"/>
      <c r="K115" s="805"/>
      <c r="L115" s="805"/>
      <c r="M115" s="805"/>
      <c r="N115" s="805"/>
      <c r="O115" s="805"/>
      <c r="P115" s="805"/>
      <c r="Q115" s="805"/>
      <c r="R115" s="805"/>
      <c r="S115" s="805"/>
      <c r="T115"/>
      <c r="V115" s="19"/>
    </row>
    <row r="116" spans="1:22" s="789" customFormat="1" ht="24" customHeight="1">
      <c r="A116" s="41"/>
      <c r="B116" s="1"/>
      <c r="C116" s="785" t="s">
        <v>689</v>
      </c>
      <c r="D116" s="772"/>
      <c r="E116" s="772"/>
      <c r="F116" s="772"/>
      <c r="G116" s="772"/>
      <c r="H116" s="772"/>
      <c r="I116" s="772"/>
      <c r="J116" s="786"/>
      <c r="K116" s="772"/>
      <c r="L116" s="772"/>
      <c r="M116" s="772"/>
      <c r="N116" s="772"/>
      <c r="O116" s="5"/>
      <c r="P116" s="1"/>
      <c r="Q116" s="1"/>
      <c r="R116" s="19"/>
      <c r="S116" s="1"/>
      <c r="T116"/>
      <c r="V116" s="19"/>
    </row>
    <row r="117" spans="1:22" s="789" customFormat="1" ht="19.5" customHeight="1">
      <c r="A117" s="41"/>
      <c r="B117" s="1"/>
      <c r="C117" s="787" t="s">
        <v>256</v>
      </c>
      <c r="D117" s="787"/>
      <c r="E117" s="787"/>
      <c r="F117" s="787"/>
      <c r="G117" s="787" t="s">
        <v>686</v>
      </c>
      <c r="H117" s="787"/>
      <c r="I117" s="787"/>
      <c r="J117" s="787"/>
      <c r="K117" s="787"/>
      <c r="L117" s="787"/>
      <c r="M117" s="787"/>
      <c r="N117" s="788" t="s">
        <v>687</v>
      </c>
      <c r="O117" s="788"/>
      <c r="P117" s="788"/>
      <c r="Q117" s="788"/>
      <c r="R117" s="788" t="s">
        <v>280</v>
      </c>
      <c r="S117" s="788"/>
      <c r="T117"/>
      <c r="V117" s="19"/>
    </row>
    <row r="118" spans="1:22" s="789" customFormat="1" ht="19.5" customHeight="1">
      <c r="A118" s="41"/>
      <c r="B118" s="1"/>
      <c r="C118" s="787"/>
      <c r="D118" s="787"/>
      <c r="E118" s="787"/>
      <c r="F118" s="787"/>
      <c r="G118" s="787"/>
      <c r="H118" s="787"/>
      <c r="I118" s="787"/>
      <c r="J118" s="787"/>
      <c r="K118" s="787"/>
      <c r="L118" s="787"/>
      <c r="M118" s="787"/>
      <c r="N118" s="129" t="s">
        <v>688</v>
      </c>
      <c r="O118" s="129"/>
      <c r="P118" s="129" t="s">
        <v>660</v>
      </c>
      <c r="Q118" s="129"/>
      <c r="R118" s="788"/>
      <c r="S118" s="788"/>
      <c r="T118"/>
      <c r="V118" s="19"/>
    </row>
    <row r="119" spans="1:22" s="789" customFormat="1" ht="19.5" customHeight="1">
      <c r="A119" s="41"/>
      <c r="B119" s="1"/>
      <c r="C119" s="790">
        <f>'light, standby'!B86</f>
        <v>0</v>
      </c>
      <c r="D119" s="790"/>
      <c r="E119" s="790"/>
      <c r="F119" s="790"/>
      <c r="G119" s="792">
        <f>'light, standby'!H89</f>
        <v>0</v>
      </c>
      <c r="H119" s="792"/>
      <c r="I119" s="792"/>
      <c r="J119" s="792"/>
      <c r="K119" s="792"/>
      <c r="L119" s="792"/>
      <c r="M119" s="792"/>
      <c r="N119" s="793">
        <f>'light, standby'!M95</f>
        <v>0</v>
      </c>
      <c r="O119" s="793"/>
      <c r="P119" s="806">
        <f>'light, standby'!O95</f>
        <v>0</v>
      </c>
      <c r="Q119" s="806"/>
      <c r="R119" s="795">
        <f>'light, standby'!Q95</f>
        <v>0</v>
      </c>
      <c r="S119" s="795"/>
      <c r="T119"/>
      <c r="V119" s="19"/>
    </row>
    <row r="120" spans="1:22" s="789" customFormat="1" ht="19.5" customHeight="1">
      <c r="A120" s="41"/>
      <c r="B120" s="1"/>
      <c r="C120" s="790">
        <f>CONCATENATE('light, standby'!B89," - ",'light, standby'!B90," - ",'light, standby'!B91," - ",'light, standby'!B92," - ",'light, standby'!B93," - ",'light, standby'!B94)</f>
        <v>0</v>
      </c>
      <c r="D120" s="790"/>
      <c r="E120" s="790"/>
      <c r="F120" s="790"/>
      <c r="G120" s="790"/>
      <c r="H120" s="790"/>
      <c r="I120" s="790"/>
      <c r="J120" s="790"/>
      <c r="K120" s="790"/>
      <c r="L120" s="790"/>
      <c r="M120" s="790"/>
      <c r="N120" s="790"/>
      <c r="O120" s="790"/>
      <c r="P120" s="790"/>
      <c r="Q120" s="790"/>
      <c r="R120" s="790"/>
      <c r="S120" s="790"/>
      <c r="T120"/>
      <c r="V120" s="19"/>
    </row>
    <row r="121" spans="1:22" s="789" customFormat="1" ht="19.5" customHeight="1" hidden="1">
      <c r="A121" s="41"/>
      <c r="B121" s="1"/>
      <c r="C121" s="790">
        <f>'light, standby'!B97</f>
        <v>0</v>
      </c>
      <c r="D121" s="790"/>
      <c r="E121" s="790"/>
      <c r="F121" s="790"/>
      <c r="G121" s="792">
        <f>'light, standby'!H100</f>
        <v>0</v>
      </c>
      <c r="H121" s="792"/>
      <c r="I121" s="792"/>
      <c r="J121" s="792"/>
      <c r="K121" s="792"/>
      <c r="L121" s="792"/>
      <c r="M121" s="792"/>
      <c r="N121" s="793">
        <f>'light, standby'!M106</f>
        <v>0</v>
      </c>
      <c r="O121" s="793"/>
      <c r="P121" s="806">
        <f>'light, standby'!O106</f>
        <v>0</v>
      </c>
      <c r="Q121" s="806"/>
      <c r="R121" s="795">
        <f>'light, standby'!Q106</f>
        <v>0</v>
      </c>
      <c r="S121" s="795"/>
      <c r="T121"/>
      <c r="V121" s="19"/>
    </row>
    <row r="122" spans="1:22" s="789" customFormat="1" ht="19.5" customHeight="1" hidden="1">
      <c r="A122" s="41"/>
      <c r="B122" s="1"/>
      <c r="C122" s="790">
        <f>CONCATENATE('light, standby'!B100," - ",'light, standby'!B101," - ",'light, standby'!B102," - ",'light, standby'!B103," - ",'light, standby'!B104," - ",'light, standby'!B105)</f>
        <v>0</v>
      </c>
      <c r="D122" s="790"/>
      <c r="E122" s="790"/>
      <c r="F122" s="790"/>
      <c r="G122" s="790"/>
      <c r="H122" s="790"/>
      <c r="I122" s="790"/>
      <c r="J122" s="790"/>
      <c r="K122" s="790"/>
      <c r="L122" s="790"/>
      <c r="M122" s="790"/>
      <c r="N122" s="790"/>
      <c r="O122" s="790"/>
      <c r="P122" s="790"/>
      <c r="Q122" s="790"/>
      <c r="R122" s="790"/>
      <c r="S122" s="790"/>
      <c r="T122"/>
      <c r="V122" s="19"/>
    </row>
    <row r="123" spans="1:22" s="789" customFormat="1" ht="19.5" customHeight="1" hidden="1">
      <c r="A123" s="41"/>
      <c r="B123" s="1"/>
      <c r="C123" s="790">
        <f>'light, standby'!B108</f>
        <v>0</v>
      </c>
      <c r="D123" s="790"/>
      <c r="E123" s="790"/>
      <c r="F123" s="790"/>
      <c r="G123" s="792">
        <f>'light, standby'!H111</f>
        <v>0</v>
      </c>
      <c r="H123" s="792"/>
      <c r="I123" s="792"/>
      <c r="J123" s="792"/>
      <c r="K123" s="792"/>
      <c r="L123" s="792"/>
      <c r="M123" s="792"/>
      <c r="N123" s="793">
        <f>'light, standby'!M117</f>
        <v>0</v>
      </c>
      <c r="O123" s="793"/>
      <c r="P123" s="806">
        <f>'light, standby'!O117</f>
        <v>0</v>
      </c>
      <c r="Q123" s="806"/>
      <c r="R123" s="795">
        <f>'light, standby'!Q117</f>
        <v>0</v>
      </c>
      <c r="S123" s="795"/>
      <c r="T123"/>
      <c r="V123" s="19"/>
    </row>
    <row r="124" spans="1:23" s="789" customFormat="1" ht="19.5" customHeight="1" hidden="1">
      <c r="A124" s="41"/>
      <c r="B124" s="1"/>
      <c r="C124" s="807">
        <f>CONCATENATE('light, standby'!B111," - ",'light, standby'!B112," - ",'light, standby'!B113," - ",'light, standby'!B114," - ",'light, standby'!B115," - ",'light, standby'!B116)</f>
        <v>0</v>
      </c>
      <c r="D124" s="807"/>
      <c r="E124" s="807"/>
      <c r="F124" s="807"/>
      <c r="G124" s="807"/>
      <c r="H124" s="807"/>
      <c r="I124" s="807"/>
      <c r="J124" s="807"/>
      <c r="K124" s="807"/>
      <c r="L124" s="807"/>
      <c r="M124" s="807"/>
      <c r="N124" s="807"/>
      <c r="O124" s="807"/>
      <c r="P124" s="807"/>
      <c r="Q124" s="807"/>
      <c r="R124" s="807"/>
      <c r="S124" s="807"/>
      <c r="T124"/>
      <c r="V124" s="19"/>
      <c r="W124" s="808"/>
    </row>
    <row r="125" spans="1:23" s="789" customFormat="1" ht="19.5" customHeight="1">
      <c r="A125" s="41"/>
      <c r="B125" s="1"/>
      <c r="C125" s="797" t="s">
        <v>268</v>
      </c>
      <c r="D125" s="797"/>
      <c r="E125" s="797"/>
      <c r="F125" s="797"/>
      <c r="G125" s="797"/>
      <c r="H125" s="797"/>
      <c r="I125" s="797"/>
      <c r="J125" s="797"/>
      <c r="K125" s="797"/>
      <c r="L125" s="797"/>
      <c r="M125" s="797"/>
      <c r="N125" s="798">
        <f>N119+N121+N123</f>
        <v>0</v>
      </c>
      <c r="O125" s="798"/>
      <c r="P125" s="800">
        <f>P119+P121+P123</f>
        <v>0</v>
      </c>
      <c r="Q125" s="800"/>
      <c r="R125" s="800">
        <f>R119+R121+R123</f>
        <v>0</v>
      </c>
      <c r="S125" s="800"/>
      <c r="T125"/>
      <c r="V125" s="19"/>
      <c r="W125" s="1"/>
    </row>
    <row r="126" spans="1:23" s="789" customFormat="1" ht="23.25" customHeight="1" hidden="1">
      <c r="A126" s="41"/>
      <c r="B126" s="1"/>
      <c r="C126" s="801">
        <f>C112</f>
        <v>0</v>
      </c>
      <c r="D126" s="805"/>
      <c r="E126" s="805"/>
      <c r="F126" s="805"/>
      <c r="G126" s="805"/>
      <c r="H126" s="805"/>
      <c r="I126" s="805"/>
      <c r="J126" s="805"/>
      <c r="K126" s="805"/>
      <c r="L126" s="805"/>
      <c r="M126" s="805"/>
      <c r="N126" s="805"/>
      <c r="O126" s="805"/>
      <c r="P126" s="805"/>
      <c r="Q126" s="805"/>
      <c r="R126" s="805"/>
      <c r="S126" s="805"/>
      <c r="T126"/>
      <c r="V126" s="19"/>
      <c r="W126" s="1"/>
    </row>
    <row r="127" spans="1:23" s="789" customFormat="1" ht="19.5" customHeight="1" hidden="1">
      <c r="A127" s="41"/>
      <c r="B127" s="1"/>
      <c r="C127" s="802">
        <f>'light, standby'!B120</f>
        <v>0</v>
      </c>
      <c r="D127" s="802"/>
      <c r="E127" s="802"/>
      <c r="F127" s="802"/>
      <c r="G127" s="802"/>
      <c r="H127" s="802"/>
      <c r="I127" s="802"/>
      <c r="J127" s="802"/>
      <c r="K127" s="802"/>
      <c r="L127" s="802"/>
      <c r="M127" s="802"/>
      <c r="N127" s="802"/>
      <c r="O127" s="802"/>
      <c r="P127" s="802"/>
      <c r="Q127" s="802"/>
      <c r="R127" s="802"/>
      <c r="S127" s="802"/>
      <c r="T127"/>
      <c r="V127" s="19"/>
      <c r="W127" s="1"/>
    </row>
    <row r="128" spans="1:23" s="789" customFormat="1" ht="19.5" customHeight="1" hidden="1">
      <c r="A128" s="41"/>
      <c r="B128" s="1"/>
      <c r="C128" s="802">
        <f>'light, standby'!B121</f>
        <v>0</v>
      </c>
      <c r="D128" s="802"/>
      <c r="E128" s="802"/>
      <c r="F128" s="802"/>
      <c r="G128" s="802"/>
      <c r="H128" s="802"/>
      <c r="I128" s="802"/>
      <c r="J128" s="802"/>
      <c r="K128" s="802"/>
      <c r="L128" s="802"/>
      <c r="M128" s="802"/>
      <c r="N128" s="802"/>
      <c r="O128" s="802"/>
      <c r="P128" s="802"/>
      <c r="Q128" s="802"/>
      <c r="R128" s="802"/>
      <c r="S128" s="802"/>
      <c r="T128"/>
      <c r="V128" s="19"/>
      <c r="W128" s="1"/>
    </row>
    <row r="129" spans="1:23" s="789" customFormat="1" ht="57.75" customHeight="1" hidden="1">
      <c r="A129" s="41"/>
      <c r="B129" s="1"/>
      <c r="C129" s="809"/>
      <c r="D129" s="803"/>
      <c r="E129" s="803"/>
      <c r="F129" s="803"/>
      <c r="G129" s="803"/>
      <c r="H129" s="803"/>
      <c r="I129" s="803"/>
      <c r="J129" s="803"/>
      <c r="K129" s="803"/>
      <c r="L129" s="803"/>
      <c r="M129"/>
      <c r="N129"/>
      <c r="O129"/>
      <c r="P129"/>
      <c r="Q129"/>
      <c r="R129"/>
      <c r="S129"/>
      <c r="T129"/>
      <c r="V129" s="19"/>
      <c r="W129" s="1"/>
    </row>
    <row r="130" spans="1:23" s="789" customFormat="1" ht="26.25" customHeight="1" hidden="1">
      <c r="A130" s="41"/>
      <c r="B130" s="1"/>
      <c r="C130" s="785" t="s">
        <v>690</v>
      </c>
      <c r="D130" s="772"/>
      <c r="E130" s="772"/>
      <c r="F130" s="772"/>
      <c r="G130" s="772"/>
      <c r="H130" s="772"/>
      <c r="I130" s="772"/>
      <c r="J130" s="786"/>
      <c r="K130" s="772"/>
      <c r="L130" s="772"/>
      <c r="M130"/>
      <c r="N130"/>
      <c r="O130"/>
      <c r="P130"/>
      <c r="Q130"/>
      <c r="R130"/>
      <c r="S130"/>
      <c r="T130"/>
      <c r="V130" s="19"/>
      <c r="W130" s="1"/>
    </row>
    <row r="131" spans="1:23" s="789" customFormat="1" ht="19.5" customHeight="1" hidden="1">
      <c r="A131" s="41"/>
      <c r="B131" s="1"/>
      <c r="C131" s="787" t="s">
        <v>256</v>
      </c>
      <c r="D131" s="787"/>
      <c r="E131" s="787"/>
      <c r="F131" s="787"/>
      <c r="G131" s="787" t="s">
        <v>686</v>
      </c>
      <c r="H131" s="787"/>
      <c r="I131" s="787"/>
      <c r="J131" s="787"/>
      <c r="K131" s="787"/>
      <c r="L131" s="787"/>
      <c r="M131" s="787"/>
      <c r="N131" s="788" t="s">
        <v>687</v>
      </c>
      <c r="O131" s="788"/>
      <c r="P131" s="788"/>
      <c r="Q131" s="788"/>
      <c r="R131" s="788" t="s">
        <v>280</v>
      </c>
      <c r="S131" s="788"/>
      <c r="T131"/>
      <c r="V131" s="19"/>
      <c r="W131" s="1"/>
    </row>
    <row r="132" spans="1:23" s="789" customFormat="1" ht="19.5" customHeight="1" hidden="1">
      <c r="A132" s="41"/>
      <c r="B132" s="1"/>
      <c r="C132" s="787"/>
      <c r="D132" s="787"/>
      <c r="E132" s="787"/>
      <c r="F132" s="787"/>
      <c r="G132" s="787"/>
      <c r="H132" s="787"/>
      <c r="I132" s="787"/>
      <c r="J132" s="787"/>
      <c r="K132" s="787"/>
      <c r="L132" s="787"/>
      <c r="M132" s="787"/>
      <c r="N132" s="129" t="s">
        <v>688</v>
      </c>
      <c r="O132" s="129"/>
      <c r="P132" s="129" t="s">
        <v>660</v>
      </c>
      <c r="Q132" s="129"/>
      <c r="R132" s="788"/>
      <c r="S132" s="788"/>
      <c r="T132"/>
      <c r="V132" s="19"/>
      <c r="W132" s="1"/>
    </row>
    <row r="133" spans="1:23" s="789" customFormat="1" ht="19.5" customHeight="1" hidden="1">
      <c r="A133" s="41"/>
      <c r="B133" s="1"/>
      <c r="C133" s="790">
        <f>'light, standby'!B136</f>
        <v>0</v>
      </c>
      <c r="D133" s="790"/>
      <c r="E133" s="790"/>
      <c r="F133" s="790"/>
      <c r="G133" s="792">
        <f>'light, standby'!H136</f>
        <v>0</v>
      </c>
      <c r="H133" s="792"/>
      <c r="I133" s="792"/>
      <c r="J133" s="792"/>
      <c r="K133" s="792"/>
      <c r="L133" s="792"/>
      <c r="M133" s="792"/>
      <c r="N133" s="793">
        <f>'light, standby'!M136</f>
        <v>0</v>
      </c>
      <c r="O133" s="793"/>
      <c r="P133" s="806">
        <f>'light, standby'!O136</f>
        <v>0</v>
      </c>
      <c r="Q133" s="806"/>
      <c r="R133" s="795">
        <f>'light, standby'!Q136</f>
        <v>0</v>
      </c>
      <c r="S133" s="795"/>
      <c r="T133"/>
      <c r="V133" s="19"/>
      <c r="W133" s="1"/>
    </row>
    <row r="134" spans="1:23" s="789" customFormat="1" ht="19.5" customHeight="1" hidden="1">
      <c r="A134" s="41"/>
      <c r="B134" s="1"/>
      <c r="C134" s="790">
        <f>'light, standby'!B137</f>
        <v>0</v>
      </c>
      <c r="D134" s="790"/>
      <c r="E134" s="790"/>
      <c r="F134" s="790"/>
      <c r="G134" s="792">
        <f>'light, standby'!H137</f>
        <v>0</v>
      </c>
      <c r="H134" s="792"/>
      <c r="I134" s="792"/>
      <c r="J134" s="792"/>
      <c r="K134" s="792"/>
      <c r="L134" s="792"/>
      <c r="M134" s="792"/>
      <c r="N134" s="793">
        <f>'light, standby'!M137</f>
        <v>0</v>
      </c>
      <c r="O134" s="793"/>
      <c r="P134" s="806">
        <f>'light, standby'!O137</f>
        <v>0</v>
      </c>
      <c r="Q134" s="806"/>
      <c r="R134" s="795">
        <f>'light, standby'!Q137</f>
        <v>0</v>
      </c>
      <c r="S134" s="795"/>
      <c r="T134"/>
      <c r="V134" s="19"/>
      <c r="W134" s="1"/>
    </row>
    <row r="135" spans="1:23" s="789" customFormat="1" ht="19.5" customHeight="1" hidden="1">
      <c r="A135" s="41"/>
      <c r="B135" s="1"/>
      <c r="C135" s="810">
        <f>'light, standby'!B138</f>
        <v>0</v>
      </c>
      <c r="D135" s="810"/>
      <c r="E135" s="810"/>
      <c r="F135" s="810"/>
      <c r="G135" s="811">
        <f>'light, standby'!H138</f>
        <v>0</v>
      </c>
      <c r="H135" s="811"/>
      <c r="I135" s="811"/>
      <c r="J135" s="811"/>
      <c r="K135" s="811"/>
      <c r="L135" s="811"/>
      <c r="M135" s="811"/>
      <c r="N135" s="812">
        <f>'light, standby'!M77</f>
        <v>0</v>
      </c>
      <c r="O135" s="812"/>
      <c r="P135" s="813">
        <f>'light, standby'!O138</f>
        <v>0</v>
      </c>
      <c r="Q135" s="813"/>
      <c r="R135" s="814">
        <f>'light, standby'!Q138</f>
        <v>0</v>
      </c>
      <c r="S135" s="814"/>
      <c r="T135"/>
      <c r="V135" s="19"/>
      <c r="W135" s="1"/>
    </row>
    <row r="136" spans="1:23" s="789" customFormat="1" ht="19.5" customHeight="1" hidden="1">
      <c r="A136" s="41"/>
      <c r="B136" s="1"/>
      <c r="C136" s="797" t="s">
        <v>268</v>
      </c>
      <c r="D136" s="797"/>
      <c r="E136" s="797"/>
      <c r="F136" s="797"/>
      <c r="G136" s="797"/>
      <c r="H136" s="797"/>
      <c r="I136" s="797"/>
      <c r="J136" s="797"/>
      <c r="K136" s="797"/>
      <c r="L136" s="797"/>
      <c r="M136" s="797"/>
      <c r="N136" s="798">
        <f>SUM(N133:O135)</f>
        <v>0</v>
      </c>
      <c r="O136" s="798"/>
      <c r="P136" s="800">
        <f>SUM(P133:Q135)</f>
        <v>0</v>
      </c>
      <c r="Q136" s="800"/>
      <c r="R136" s="800">
        <f>SUM(R133:S135)</f>
        <v>0</v>
      </c>
      <c r="S136" s="800"/>
      <c r="T136"/>
      <c r="V136" s="19"/>
      <c r="W136" s="1"/>
    </row>
    <row r="137" spans="1:23" s="789" customFormat="1" ht="25.5" customHeight="1" hidden="1">
      <c r="A137" s="41"/>
      <c r="B137" s="1"/>
      <c r="C137" s="815">
        <f>C126</f>
        <v>0</v>
      </c>
      <c r="D137" s="803"/>
      <c r="E137" s="803"/>
      <c r="F137" s="803"/>
      <c r="G137" s="803"/>
      <c r="H137" s="803"/>
      <c r="I137" s="803"/>
      <c r="J137" s="803"/>
      <c r="K137" s="803"/>
      <c r="L137" s="803"/>
      <c r="M137"/>
      <c r="N137"/>
      <c r="O137"/>
      <c r="P137"/>
      <c r="Q137"/>
      <c r="R137"/>
      <c r="S137"/>
      <c r="T137"/>
      <c r="V137" s="19"/>
      <c r="W137" s="1"/>
    </row>
    <row r="138" spans="1:23" s="789" customFormat="1" ht="19.5" customHeight="1" hidden="1">
      <c r="A138" s="41"/>
      <c r="B138" s="1"/>
      <c r="C138" s="802">
        <f>'light, standby'!B142</f>
        <v>0</v>
      </c>
      <c r="D138" s="802"/>
      <c r="E138" s="802"/>
      <c r="F138" s="802"/>
      <c r="G138" s="802"/>
      <c r="H138" s="802"/>
      <c r="I138" s="802"/>
      <c r="J138" s="802"/>
      <c r="K138" s="802"/>
      <c r="L138" s="802"/>
      <c r="M138" s="802"/>
      <c r="N138" s="802"/>
      <c r="O138" s="802"/>
      <c r="P138" s="802"/>
      <c r="Q138" s="802"/>
      <c r="R138" s="802"/>
      <c r="S138" s="802"/>
      <c r="T138"/>
      <c r="V138" s="19"/>
      <c r="W138" s="1"/>
    </row>
    <row r="139" spans="1:23" s="789" customFormat="1" ht="19.5" customHeight="1" hidden="1">
      <c r="A139" s="41"/>
      <c r="B139" s="1"/>
      <c r="C139" s="802">
        <f>'light, standby'!B143</f>
        <v>0</v>
      </c>
      <c r="D139" s="802"/>
      <c r="E139" s="802"/>
      <c r="F139" s="802"/>
      <c r="G139" s="802"/>
      <c r="H139" s="802"/>
      <c r="I139" s="802"/>
      <c r="J139" s="802"/>
      <c r="K139" s="802"/>
      <c r="L139" s="802"/>
      <c r="M139" s="802"/>
      <c r="N139" s="802"/>
      <c r="O139" s="802"/>
      <c r="P139" s="802"/>
      <c r="Q139" s="802"/>
      <c r="R139" s="802"/>
      <c r="S139" s="802"/>
      <c r="T139"/>
      <c r="V139" s="19"/>
      <c r="W139" s="1"/>
    </row>
    <row r="140" spans="1:23" s="789" customFormat="1" ht="64.5" customHeight="1">
      <c r="A140" s="41"/>
      <c r="B140" s="1"/>
      <c r="C140" s="809"/>
      <c r="D140" s="803"/>
      <c r="E140" s="803"/>
      <c r="F140" s="803"/>
      <c r="G140" s="803"/>
      <c r="H140" s="803"/>
      <c r="I140" s="803"/>
      <c r="J140" s="803"/>
      <c r="K140" s="803"/>
      <c r="L140" s="803"/>
      <c r="M140"/>
      <c r="N140"/>
      <c r="O140"/>
      <c r="P140"/>
      <c r="Q140"/>
      <c r="R140"/>
      <c r="S140"/>
      <c r="T140"/>
      <c r="V140" s="19"/>
      <c r="W140" s="1"/>
    </row>
    <row r="141" spans="1:23" s="789" customFormat="1" ht="19.5" customHeight="1">
      <c r="A141" s="41"/>
      <c r="B141" s="785" t="s">
        <v>691</v>
      </c>
      <c r="C141" s="803"/>
      <c r="D141" s="803"/>
      <c r="E141" s="803"/>
      <c r="F141" s="803"/>
      <c r="G141" s="803"/>
      <c r="H141" s="803"/>
      <c r="I141" s="803"/>
      <c r="J141" s="803"/>
      <c r="K141" s="803"/>
      <c r="L141" s="803"/>
      <c r="M141" s="803"/>
      <c r="N141" s="803"/>
      <c r="O141" s="803"/>
      <c r="P141" s="803"/>
      <c r="Q141" s="803"/>
      <c r="R141" s="803"/>
      <c r="S141"/>
      <c r="T141"/>
      <c r="V141" s="19"/>
      <c r="W141" s="1"/>
    </row>
    <row r="142" spans="1:23" s="789" customFormat="1" ht="19.5" customHeight="1">
      <c r="A142" s="41"/>
      <c r="B142" s="787" t="s">
        <v>256</v>
      </c>
      <c r="C142" s="787"/>
      <c r="D142" s="787"/>
      <c r="E142" s="787" t="s">
        <v>686</v>
      </c>
      <c r="F142" s="787"/>
      <c r="G142" s="787"/>
      <c r="H142" s="787"/>
      <c r="I142" s="787"/>
      <c r="J142" s="787"/>
      <c r="K142" s="787"/>
      <c r="L142" s="788" t="s">
        <v>687</v>
      </c>
      <c r="M142" s="788"/>
      <c r="N142" s="788"/>
      <c r="O142" s="788"/>
      <c r="P142" s="788"/>
      <c r="Q142" s="788"/>
      <c r="R142" s="788"/>
      <c r="S142" s="788"/>
      <c r="T142" s="788" t="s">
        <v>280</v>
      </c>
      <c r="U142" s="788"/>
      <c r="V142" s="19"/>
      <c r="W142" s="1"/>
    </row>
    <row r="143" spans="1:23" s="789" customFormat="1" ht="19.5" customHeight="1">
      <c r="A143" s="41"/>
      <c r="B143" s="787"/>
      <c r="C143" s="787"/>
      <c r="D143" s="787"/>
      <c r="E143" s="787"/>
      <c r="F143" s="787"/>
      <c r="G143" s="787"/>
      <c r="H143" s="787"/>
      <c r="I143" s="787"/>
      <c r="J143" s="787"/>
      <c r="K143" s="787"/>
      <c r="L143" s="129" t="s">
        <v>692</v>
      </c>
      <c r="M143" s="129"/>
      <c r="N143" s="129" t="s">
        <v>688</v>
      </c>
      <c r="O143" s="129"/>
      <c r="P143" s="129" t="s">
        <v>693</v>
      </c>
      <c r="Q143" s="129"/>
      <c r="R143" s="129" t="s">
        <v>660</v>
      </c>
      <c r="S143" s="129"/>
      <c r="T143" s="788"/>
      <c r="U143" s="788"/>
      <c r="V143" s="19"/>
      <c r="W143" s="1"/>
    </row>
    <row r="144" spans="1:23" s="789" customFormat="1" ht="19.5" customHeight="1" hidden="1">
      <c r="A144" s="41"/>
      <c r="B144" s="790">
        <f>'water savings'!B16</f>
        <v>0</v>
      </c>
      <c r="C144" s="790"/>
      <c r="D144" s="790"/>
      <c r="E144" s="792">
        <f>'water savings'!H16</f>
        <v>0</v>
      </c>
      <c r="F144" s="792"/>
      <c r="G144" s="792"/>
      <c r="H144" s="792"/>
      <c r="I144" s="792"/>
      <c r="J144" s="792"/>
      <c r="K144" s="792"/>
      <c r="L144" s="816">
        <f>'water savings'!M16</f>
        <v>0</v>
      </c>
      <c r="M144" s="816"/>
      <c r="N144" s="817"/>
      <c r="O144" s="817"/>
      <c r="P144" s="818"/>
      <c r="Q144" s="818"/>
      <c r="R144" s="806">
        <f>'water savings'!O16</f>
        <v>0</v>
      </c>
      <c r="S144" s="806"/>
      <c r="T144" s="795">
        <f>'water savings'!Q16</f>
        <v>0</v>
      </c>
      <c r="U144" s="795"/>
      <c r="V144" s="19"/>
      <c r="W144" s="1"/>
    </row>
    <row r="145" spans="1:23" s="789" customFormat="1" ht="19.5" customHeight="1" hidden="1">
      <c r="A145" s="41"/>
      <c r="B145" s="790">
        <f>'water savings'!B17</f>
        <v>0</v>
      </c>
      <c r="C145" s="790"/>
      <c r="D145" s="790"/>
      <c r="E145" s="792">
        <f>'water savings'!H17</f>
        <v>0</v>
      </c>
      <c r="F145" s="792"/>
      <c r="G145" s="792"/>
      <c r="H145" s="792"/>
      <c r="I145" s="792"/>
      <c r="J145" s="792"/>
      <c r="K145" s="792"/>
      <c r="L145" s="816">
        <f>'water savings'!M17</f>
        <v>0</v>
      </c>
      <c r="M145" s="816"/>
      <c r="N145" s="817"/>
      <c r="O145" s="817"/>
      <c r="P145" s="818"/>
      <c r="Q145" s="818"/>
      <c r="R145" s="806">
        <f>'water savings'!O17</f>
        <v>0</v>
      </c>
      <c r="S145" s="806"/>
      <c r="T145" s="795">
        <f>'water savings'!Q17</f>
        <v>0</v>
      </c>
      <c r="U145" s="795"/>
      <c r="V145" s="19"/>
      <c r="W145" s="1"/>
    </row>
    <row r="146" spans="1:23" s="789" customFormat="1" ht="19.5" customHeight="1" hidden="1">
      <c r="A146" s="41"/>
      <c r="B146" s="790">
        <f>'water savings'!B18</f>
        <v>0</v>
      </c>
      <c r="C146" s="790"/>
      <c r="D146" s="790"/>
      <c r="E146" s="792">
        <f>'water savings'!H18</f>
        <v>0</v>
      </c>
      <c r="F146" s="792"/>
      <c r="G146" s="792"/>
      <c r="H146" s="792"/>
      <c r="I146" s="792"/>
      <c r="J146" s="792"/>
      <c r="K146" s="792"/>
      <c r="L146" s="816">
        <f>'water savings'!M18</f>
        <v>0</v>
      </c>
      <c r="M146" s="816"/>
      <c r="N146" s="817"/>
      <c r="O146" s="817"/>
      <c r="P146" s="818"/>
      <c r="Q146" s="818"/>
      <c r="R146" s="806">
        <f>'water savings'!O18</f>
        <v>0</v>
      </c>
      <c r="S146" s="806"/>
      <c r="T146" s="795">
        <f>'water savings'!Q18</f>
        <v>0</v>
      </c>
      <c r="U146" s="795"/>
      <c r="V146" s="19"/>
      <c r="W146" s="1"/>
    </row>
    <row r="147" spans="1:23" s="789" customFormat="1" ht="19.5" customHeight="1">
      <c r="A147" s="41"/>
      <c r="B147" s="790">
        <f>'water savings'!B35</f>
        <v>0</v>
      </c>
      <c r="C147" s="790"/>
      <c r="D147" s="790"/>
      <c r="E147" s="792">
        <f>'water savings'!H35</f>
        <v>0</v>
      </c>
      <c r="F147" s="792"/>
      <c r="G147" s="792"/>
      <c r="H147" s="792"/>
      <c r="I147" s="792"/>
      <c r="J147" s="792"/>
      <c r="K147" s="792"/>
      <c r="L147" s="816">
        <f>'water savings'!M35</f>
        <v>0</v>
      </c>
      <c r="M147" s="816"/>
      <c r="N147" s="791">
        <f>IF('household+building'!I$46="yes",'water savings'!O35,0)</f>
        <v>0</v>
      </c>
      <c r="O147" s="791"/>
      <c r="P147" s="793">
        <f>IF('household+building'!I$46="no",'water savings'!O35,0)</f>
        <v>0</v>
      </c>
      <c r="Q147" s="793"/>
      <c r="R147" s="806">
        <f>'water savings'!Q35</f>
        <v>0</v>
      </c>
      <c r="S147" s="806"/>
      <c r="T147" s="795">
        <f>'water savings'!S35</f>
        <v>0</v>
      </c>
      <c r="U147" s="795"/>
      <c r="V147" s="19"/>
      <c r="W147" s="1"/>
    </row>
    <row r="148" spans="1:23" s="789" customFormat="1" ht="19.5" customHeight="1" hidden="1">
      <c r="A148" s="41"/>
      <c r="B148" s="790">
        <f>'water savings'!B36</f>
        <v>0</v>
      </c>
      <c r="C148" s="790"/>
      <c r="D148" s="790"/>
      <c r="E148" s="792">
        <f>'water savings'!H36</f>
        <v>0</v>
      </c>
      <c r="F148" s="792"/>
      <c r="G148" s="792"/>
      <c r="H148" s="792"/>
      <c r="I148" s="792"/>
      <c r="J148" s="792"/>
      <c r="K148" s="792"/>
      <c r="L148" s="816">
        <f>'water savings'!M36</f>
        <v>0</v>
      </c>
      <c r="M148" s="816"/>
      <c r="N148" s="791">
        <f>IF('household+building'!I$46="yes",'water savings'!O36,0)</f>
        <v>0</v>
      </c>
      <c r="O148" s="791"/>
      <c r="P148" s="793">
        <f>IF('household+building'!I$46="no",'water savings'!O36,0)</f>
        <v>0</v>
      </c>
      <c r="Q148" s="793"/>
      <c r="R148" s="806">
        <f>'water savings'!Q36</f>
        <v>0</v>
      </c>
      <c r="S148" s="806"/>
      <c r="T148" s="795">
        <f>'water savings'!S36</f>
        <v>0</v>
      </c>
      <c r="U148" s="795"/>
      <c r="V148" s="19"/>
      <c r="W148" s="1"/>
    </row>
    <row r="149" spans="1:23" s="789" customFormat="1" ht="19.5" customHeight="1" hidden="1">
      <c r="A149" s="41"/>
      <c r="B149" s="790">
        <f>IF('water savings'!F39="yes",B148," ")</f>
        <v>0</v>
      </c>
      <c r="C149" s="790"/>
      <c r="D149" s="790"/>
      <c r="E149" s="792">
        <f>IF('water savings'!F39="yes",'water savings'!X39," ")</f>
        <v>0</v>
      </c>
      <c r="F149" s="792"/>
      <c r="G149" s="792"/>
      <c r="H149" s="792"/>
      <c r="I149" s="792"/>
      <c r="J149" s="792"/>
      <c r="K149" s="792"/>
      <c r="L149" s="129">
        <f>"-"</f>
        <v>0</v>
      </c>
      <c r="M149" s="129"/>
      <c r="N149" s="129" t="s">
        <v>488</v>
      </c>
      <c r="O149" s="129"/>
      <c r="P149" s="129"/>
      <c r="Q149" s="129"/>
      <c r="R149" s="129"/>
      <c r="S149" s="129"/>
      <c r="T149" s="795">
        <f>'water savings'!F40</f>
        <v>0</v>
      </c>
      <c r="U149" s="795"/>
      <c r="V149" s="19"/>
      <c r="W149" s="1"/>
    </row>
    <row r="150" spans="1:23" s="789" customFormat="1" ht="19.5" customHeight="1">
      <c r="A150" s="41"/>
      <c r="B150" s="790">
        <f>'water savings'!B57</f>
        <v>0</v>
      </c>
      <c r="C150" s="790"/>
      <c r="D150" s="790"/>
      <c r="E150" s="792">
        <f>'water savings'!H57</f>
        <v>0</v>
      </c>
      <c r="F150" s="792"/>
      <c r="G150" s="792"/>
      <c r="H150" s="792"/>
      <c r="I150" s="792"/>
      <c r="J150" s="792"/>
      <c r="K150" s="792"/>
      <c r="L150" s="816">
        <f>'water savings'!M57</f>
        <v>0</v>
      </c>
      <c r="M150" s="816"/>
      <c r="N150" s="791">
        <f>IF('household+building'!I$46="yes",'water savings'!O57,0)</f>
        <v>0</v>
      </c>
      <c r="O150" s="791"/>
      <c r="P150" s="793">
        <f>IF('household+building'!I$46="no",'water savings'!O57,0)</f>
        <v>0</v>
      </c>
      <c r="Q150" s="793"/>
      <c r="R150" s="806">
        <f>'water savings'!Q57</f>
        <v>0</v>
      </c>
      <c r="S150" s="806"/>
      <c r="T150" s="795">
        <f>'water savings'!S57</f>
        <v>0</v>
      </c>
      <c r="U150" s="795"/>
      <c r="V150" s="19"/>
      <c r="W150" s="1"/>
    </row>
    <row r="151" spans="1:23" s="789" customFormat="1" ht="19.5" customHeight="1">
      <c r="A151" s="41"/>
      <c r="B151" s="790">
        <f>'water savings'!B58</f>
        <v>0</v>
      </c>
      <c r="C151" s="790"/>
      <c r="D151" s="790"/>
      <c r="E151" s="792">
        <f>'water savings'!H58</f>
        <v>0</v>
      </c>
      <c r="F151" s="792"/>
      <c r="G151" s="792"/>
      <c r="H151" s="792"/>
      <c r="I151" s="792"/>
      <c r="J151" s="792"/>
      <c r="K151" s="792"/>
      <c r="L151" s="816">
        <f>'water savings'!M58</f>
        <v>0</v>
      </c>
      <c r="M151" s="816"/>
      <c r="N151" s="791">
        <f>IF('household+building'!I$46="yes",'water savings'!O58,0)</f>
        <v>0</v>
      </c>
      <c r="O151" s="791"/>
      <c r="P151" s="793">
        <f>IF('household+building'!I$46="no",'water savings'!O58,0)</f>
        <v>0</v>
      </c>
      <c r="Q151" s="793"/>
      <c r="R151" s="806">
        <f>'water savings'!Q58</f>
        <v>0</v>
      </c>
      <c r="S151" s="806"/>
      <c r="T151" s="795">
        <f>'water savings'!S58</f>
        <v>0</v>
      </c>
      <c r="U151" s="795"/>
      <c r="V151" s="19"/>
      <c r="W151" s="1"/>
    </row>
    <row r="152" spans="1:23" s="789" customFormat="1" ht="19.5" customHeight="1">
      <c r="A152" s="41"/>
      <c r="B152" s="790">
        <f>'water savings'!B59</f>
        <v>0</v>
      </c>
      <c r="C152" s="790"/>
      <c r="D152" s="790"/>
      <c r="E152" s="792">
        <f>'water savings'!H59</f>
        <v>0</v>
      </c>
      <c r="F152" s="792"/>
      <c r="G152" s="792"/>
      <c r="H152" s="792"/>
      <c r="I152" s="792"/>
      <c r="J152" s="792"/>
      <c r="K152" s="792"/>
      <c r="L152" s="816">
        <f>'water savings'!M59</f>
        <v>0</v>
      </c>
      <c r="M152" s="816"/>
      <c r="N152" s="791">
        <f>IF('household+building'!I$46="yes",'water savings'!O59,0)</f>
        <v>0</v>
      </c>
      <c r="O152" s="791"/>
      <c r="P152" s="793">
        <f>IF('household+building'!I$46="no",'water savings'!O59,0)</f>
        <v>0</v>
      </c>
      <c r="Q152" s="793"/>
      <c r="R152" s="806">
        <f>'water savings'!Q59</f>
        <v>0</v>
      </c>
      <c r="S152" s="806"/>
      <c r="T152" s="795">
        <f>'water savings'!S59</f>
        <v>0</v>
      </c>
      <c r="U152" s="795"/>
      <c r="V152" s="19"/>
      <c r="W152" s="1"/>
    </row>
    <row r="153" spans="1:23" s="789" customFormat="1" ht="19.5" customHeight="1">
      <c r="A153" s="41"/>
      <c r="B153" s="790">
        <f>'water savings'!B60</f>
        <v>0</v>
      </c>
      <c r="C153" s="790"/>
      <c r="D153" s="790"/>
      <c r="E153" s="792">
        <f>'water savings'!H60</f>
        <v>0</v>
      </c>
      <c r="F153" s="792"/>
      <c r="G153" s="792"/>
      <c r="H153" s="792"/>
      <c r="I153" s="792"/>
      <c r="J153" s="792"/>
      <c r="K153" s="792"/>
      <c r="L153" s="816">
        <f>'water savings'!M60</f>
        <v>0</v>
      </c>
      <c r="M153" s="816"/>
      <c r="N153" s="791">
        <f>IF('household+building'!I$46="yes",'water savings'!O60,0)</f>
        <v>0</v>
      </c>
      <c r="O153" s="791"/>
      <c r="P153" s="793">
        <f>IF('household+building'!I$46="no",'water savings'!O60,0)</f>
        <v>0</v>
      </c>
      <c r="Q153" s="793"/>
      <c r="R153" s="806">
        <f>'water savings'!Q60</f>
        <v>0</v>
      </c>
      <c r="S153" s="806"/>
      <c r="T153" s="795">
        <f>'water savings'!S60</f>
        <v>0</v>
      </c>
      <c r="U153" s="795"/>
      <c r="V153" s="19"/>
      <c r="W153" s="1"/>
    </row>
    <row r="154" spans="1:23" s="789" customFormat="1" ht="19.5" customHeight="1" hidden="1">
      <c r="A154" s="41"/>
      <c r="B154" s="810">
        <f>'water savings'!B61</f>
        <v>0</v>
      </c>
      <c r="C154" s="810"/>
      <c r="D154" s="810"/>
      <c r="E154" s="811">
        <f>'water savings'!H61</f>
        <v>0</v>
      </c>
      <c r="F154" s="811"/>
      <c r="G154" s="811"/>
      <c r="H154" s="811"/>
      <c r="I154" s="811"/>
      <c r="J154" s="811"/>
      <c r="K154" s="811"/>
      <c r="L154" s="819">
        <f>'water savings'!M61</f>
        <v>0</v>
      </c>
      <c r="M154" s="819"/>
      <c r="N154" s="820">
        <f>IF('household+building'!I$46="yes",'water savings'!O61,0)</f>
        <v>0</v>
      </c>
      <c r="O154" s="820"/>
      <c r="P154" s="812">
        <f>IF('household+building'!I$46="no",'water savings'!O61,0)</f>
        <v>0</v>
      </c>
      <c r="Q154" s="812"/>
      <c r="R154" s="813">
        <f>'water savings'!Q61</f>
        <v>0</v>
      </c>
      <c r="S154" s="813"/>
      <c r="T154" s="814">
        <f>'water savings'!S61</f>
        <v>0</v>
      </c>
      <c r="U154" s="814"/>
      <c r="V154" s="19"/>
      <c r="W154" s="1"/>
    </row>
    <row r="155" spans="1:23" s="789" customFormat="1" ht="19.5" customHeight="1">
      <c r="A155" s="41"/>
      <c r="B155" s="797" t="s">
        <v>268</v>
      </c>
      <c r="C155" s="797"/>
      <c r="D155" s="797"/>
      <c r="E155" s="797"/>
      <c r="F155" s="797"/>
      <c r="G155" s="797"/>
      <c r="H155" s="797"/>
      <c r="I155" s="797"/>
      <c r="J155" s="797"/>
      <c r="K155" s="797"/>
      <c r="L155" s="821">
        <f>SUM(L144:M154)</f>
        <v>0</v>
      </c>
      <c r="M155" s="821"/>
      <c r="N155" s="822">
        <f>N147+N148+N150+N151+N152+N153+N154</f>
        <v>0</v>
      </c>
      <c r="O155" s="822"/>
      <c r="P155" s="822">
        <f>P147+P148+P150+P151+P152+P153+P154</f>
        <v>0</v>
      </c>
      <c r="Q155" s="822"/>
      <c r="R155" s="800">
        <f>R144+R145+R146+R147+R148+R150+R151+R152+R153+R154</f>
        <v>0</v>
      </c>
      <c r="S155" s="800"/>
      <c r="T155" s="800">
        <f>SUM(T144:U154)</f>
        <v>0</v>
      </c>
      <c r="U155" s="800"/>
      <c r="V155" s="19"/>
      <c r="W155" s="1"/>
    </row>
    <row r="156" spans="1:23" s="789" customFormat="1" ht="23.25" customHeight="1" hidden="1">
      <c r="A156" s="41"/>
      <c r="B156" s="815">
        <f>C137</f>
        <v>0</v>
      </c>
      <c r="C156"/>
      <c r="D156"/>
      <c r="E156"/>
      <c r="F156"/>
      <c r="G156"/>
      <c r="H156"/>
      <c r="I156"/>
      <c r="J156"/>
      <c r="K156"/>
      <c r="L156"/>
      <c r="M156"/>
      <c r="N156"/>
      <c r="O156"/>
      <c r="P156"/>
      <c r="Q156"/>
      <c r="R156"/>
      <c r="S156"/>
      <c r="T156"/>
      <c r="U156"/>
      <c r="V156" s="19"/>
      <c r="W156" s="1"/>
    </row>
    <row r="157" spans="1:23" s="789" customFormat="1" ht="19.5" customHeight="1" hidden="1">
      <c r="A157" s="41"/>
      <c r="B157" s="802">
        <f>'water savings'!B65</f>
        <v>0</v>
      </c>
      <c r="C157" s="802"/>
      <c r="D157" s="802"/>
      <c r="E157" s="802"/>
      <c r="F157" s="802"/>
      <c r="G157" s="802"/>
      <c r="H157" s="802"/>
      <c r="I157" s="802"/>
      <c r="J157" s="802"/>
      <c r="K157" s="802"/>
      <c r="L157" s="802"/>
      <c r="M157" s="802"/>
      <c r="N157" s="802"/>
      <c r="O157" s="802"/>
      <c r="P157" s="802"/>
      <c r="Q157" s="802"/>
      <c r="R157" s="802"/>
      <c r="S157" s="802"/>
      <c r="T157" s="802"/>
      <c r="U157" s="802"/>
      <c r="V157" s="19"/>
      <c r="W157" s="1"/>
    </row>
    <row r="158" spans="1:23" s="789" customFormat="1" ht="19.5" customHeight="1" hidden="1">
      <c r="A158" s="41"/>
      <c r="B158" s="802">
        <f>'water savings'!B66</f>
        <v>0</v>
      </c>
      <c r="C158" s="802"/>
      <c r="D158" s="802"/>
      <c r="E158" s="802"/>
      <c r="F158" s="802"/>
      <c r="G158" s="802"/>
      <c r="H158" s="802"/>
      <c r="I158" s="802"/>
      <c r="J158" s="802"/>
      <c r="K158" s="802"/>
      <c r="L158" s="802"/>
      <c r="M158" s="802"/>
      <c r="N158" s="802"/>
      <c r="O158" s="802"/>
      <c r="P158" s="802"/>
      <c r="Q158" s="802"/>
      <c r="R158" s="802"/>
      <c r="S158" s="802"/>
      <c r="T158" s="802"/>
      <c r="U158" s="802"/>
      <c r="V158" s="19"/>
      <c r="W158" s="1"/>
    </row>
    <row r="159" spans="1:23" s="789" customFormat="1" ht="51.75" customHeight="1">
      <c r="A159" s="41"/>
      <c r="B159" s="809"/>
      <c r="C159" s="750"/>
      <c r="D159" s="750"/>
      <c r="E159" s="750"/>
      <c r="F159" s="750"/>
      <c r="G159" s="750"/>
      <c r="H159" s="750"/>
      <c r="I159" s="750"/>
      <c r="J159" s="750"/>
      <c r="K159" s="750"/>
      <c r="L159" s="750"/>
      <c r="M159" s="750"/>
      <c r="N159" s="750"/>
      <c r="O159" s="750"/>
      <c r="P159" s="750"/>
      <c r="Q159" s="750"/>
      <c r="R159" s="750"/>
      <c r="S159" s="750"/>
      <c r="T159" s="750"/>
      <c r="U159" s="750"/>
      <c r="V159" s="19"/>
      <c r="W159" s="1"/>
    </row>
    <row r="160" spans="1:23" s="789" customFormat="1" ht="26.25" customHeight="1">
      <c r="A160" s="41"/>
      <c r="B160" s="785" t="s">
        <v>694</v>
      </c>
      <c r="C160" s="803"/>
      <c r="D160" s="803"/>
      <c r="E160" s="803"/>
      <c r="F160" s="803"/>
      <c r="G160" s="803"/>
      <c r="H160" s="803"/>
      <c r="I160" s="803"/>
      <c r="J160" s="803"/>
      <c r="K160" s="803"/>
      <c r="L160" s="803"/>
      <c r="M160" s="803"/>
      <c r="N160" s="803"/>
      <c r="O160" s="803"/>
      <c r="P160" s="803"/>
      <c r="Q160" s="803"/>
      <c r="R160" s="803"/>
      <c r="S160"/>
      <c r="T160"/>
      <c r="U160"/>
      <c r="V160" s="19"/>
      <c r="W160" s="1"/>
    </row>
    <row r="161" spans="1:23" s="789" customFormat="1" ht="19.5" customHeight="1">
      <c r="A161" s="41"/>
      <c r="B161" s="787" t="s">
        <v>256</v>
      </c>
      <c r="C161" s="787"/>
      <c r="D161" s="787"/>
      <c r="E161" s="823" t="s">
        <v>695</v>
      </c>
      <c r="F161" s="823"/>
      <c r="G161" s="788" t="s">
        <v>696</v>
      </c>
      <c r="H161" s="788"/>
      <c r="I161" s="787" t="s">
        <v>686</v>
      </c>
      <c r="J161" s="787"/>
      <c r="K161" s="787"/>
      <c r="L161" s="787"/>
      <c r="M161" s="787"/>
      <c r="N161" s="787"/>
      <c r="O161" s="787"/>
      <c r="P161" s="788" t="s">
        <v>687</v>
      </c>
      <c r="Q161" s="788"/>
      <c r="R161" s="788"/>
      <c r="S161" s="788"/>
      <c r="T161" s="788" t="s">
        <v>280</v>
      </c>
      <c r="U161" s="788"/>
      <c r="V161" s="19"/>
      <c r="W161" s="1"/>
    </row>
    <row r="162" spans="1:23" s="789" customFormat="1" ht="19.5" customHeight="1">
      <c r="A162" s="41"/>
      <c r="B162" s="787"/>
      <c r="C162" s="787"/>
      <c r="D162" s="787"/>
      <c r="E162" s="823"/>
      <c r="F162" s="823"/>
      <c r="G162" s="788"/>
      <c r="H162" s="788"/>
      <c r="I162" s="787"/>
      <c r="J162" s="787"/>
      <c r="K162" s="787"/>
      <c r="L162" s="787"/>
      <c r="M162" s="787"/>
      <c r="N162" s="787"/>
      <c r="O162" s="787"/>
      <c r="P162" s="129" t="s">
        <v>693</v>
      </c>
      <c r="Q162" s="129"/>
      <c r="R162" s="129" t="s">
        <v>660</v>
      </c>
      <c r="S162" s="129"/>
      <c r="T162" s="788"/>
      <c r="U162" s="788"/>
      <c r="V162" s="19"/>
      <c r="W162" s="1"/>
    </row>
    <row r="163" spans="1:23" s="789" customFormat="1" ht="19.5" customHeight="1">
      <c r="A163" s="41"/>
      <c r="B163" s="790">
        <f>heating!B30</f>
        <v>0</v>
      </c>
      <c r="C163" s="790"/>
      <c r="D163" s="790"/>
      <c r="E163" s="793">
        <f>heating!E30</f>
        <v>1</v>
      </c>
      <c r="F163" s="793"/>
      <c r="G163" s="824">
        <f>heating!H30</f>
        <v>0</v>
      </c>
      <c r="H163" s="825" t="s">
        <v>444</v>
      </c>
      <c r="I163" s="792">
        <f>heating!I30</f>
        <v>0</v>
      </c>
      <c r="J163" s="792"/>
      <c r="K163" s="792"/>
      <c r="L163" s="792"/>
      <c r="M163" s="792"/>
      <c r="N163" s="792"/>
      <c r="O163" s="792"/>
      <c r="P163" s="791">
        <f>heating!M30</f>
        <v>0</v>
      </c>
      <c r="Q163" s="791"/>
      <c r="R163" s="806">
        <f>heating!O30</f>
        <v>0</v>
      </c>
      <c r="S163" s="806"/>
      <c r="T163" s="795">
        <f>heating!Q30</f>
        <v>0</v>
      </c>
      <c r="U163" s="795"/>
      <c r="V163" s="19"/>
      <c r="W163" s="1"/>
    </row>
    <row r="164" spans="1:23" s="789" customFormat="1" ht="19.5" customHeight="1">
      <c r="A164" s="41"/>
      <c r="B164" s="790">
        <f>heating!B31</f>
        <v>0</v>
      </c>
      <c r="C164" s="790"/>
      <c r="D164" s="790"/>
      <c r="E164" s="793">
        <f>heating!E31</f>
        <v>0</v>
      </c>
      <c r="F164" s="793"/>
      <c r="G164" s="824">
        <f>heating!H31</f>
        <v>0</v>
      </c>
      <c r="H164" s="825" t="s">
        <v>444</v>
      </c>
      <c r="I164" s="792">
        <f>heating!I31</f>
        <v>0</v>
      </c>
      <c r="J164" s="792"/>
      <c r="K164" s="792"/>
      <c r="L164" s="792"/>
      <c r="M164" s="792"/>
      <c r="N164" s="792"/>
      <c r="O164" s="792"/>
      <c r="P164" s="791">
        <f>heating!M31</f>
        <v>0</v>
      </c>
      <c r="Q164" s="791"/>
      <c r="R164" s="806">
        <f>heating!O31</f>
        <v>0</v>
      </c>
      <c r="S164" s="806"/>
      <c r="T164" s="795">
        <f>heating!Q31</f>
        <v>0</v>
      </c>
      <c r="U164" s="795"/>
      <c r="V164" s="19"/>
      <c r="W164" s="1"/>
    </row>
    <row r="165" spans="1:25" s="789" customFormat="1" ht="19.5" customHeight="1">
      <c r="A165" s="41"/>
      <c r="B165" s="790">
        <f>heating!B32</f>
        <v>0</v>
      </c>
      <c r="C165" s="790"/>
      <c r="D165" s="790"/>
      <c r="E165" s="793">
        <f>heating!E32</f>
        <v>0</v>
      </c>
      <c r="F165" s="793"/>
      <c r="G165" s="824">
        <f>heating!H32</f>
        <v>0</v>
      </c>
      <c r="H165" s="825" t="s">
        <v>444</v>
      </c>
      <c r="I165" s="792">
        <f>heating!I32</f>
        <v>0</v>
      </c>
      <c r="J165" s="792"/>
      <c r="K165" s="792"/>
      <c r="L165" s="792"/>
      <c r="M165" s="792"/>
      <c r="N165" s="792"/>
      <c r="O165" s="792"/>
      <c r="P165" s="791">
        <f>heating!M32</f>
        <v>0</v>
      </c>
      <c r="Q165" s="791"/>
      <c r="R165" s="806">
        <f>heating!O32</f>
        <v>0</v>
      </c>
      <c r="S165" s="806"/>
      <c r="T165" s="795">
        <f>heating!Q32</f>
        <v>0</v>
      </c>
      <c r="U165" s="795"/>
      <c r="V165" s="19"/>
      <c r="W165" s="1"/>
      <c r="Y165" s="826"/>
    </row>
    <row r="166" spans="1:25" s="789" customFormat="1" ht="19.5" customHeight="1">
      <c r="A166" s="41"/>
      <c r="B166" s="790">
        <f>heating!B33</f>
        <v>0</v>
      </c>
      <c r="C166" s="790"/>
      <c r="D166" s="790"/>
      <c r="E166" s="793">
        <f>heating!E33</f>
        <v>0</v>
      </c>
      <c r="F166" s="793"/>
      <c r="G166" s="824">
        <f>heating!H33</f>
        <v>0</v>
      </c>
      <c r="H166" s="825" t="s">
        <v>444</v>
      </c>
      <c r="I166" s="792">
        <f>heating!I33</f>
        <v>0</v>
      </c>
      <c r="J166" s="792"/>
      <c r="K166" s="792"/>
      <c r="L166" s="792"/>
      <c r="M166" s="792"/>
      <c r="N166" s="792"/>
      <c r="O166" s="792"/>
      <c r="P166" s="791">
        <f>heating!M33</f>
        <v>0</v>
      </c>
      <c r="Q166" s="791"/>
      <c r="R166" s="806">
        <f>heating!O33</f>
        <v>0</v>
      </c>
      <c r="S166" s="806"/>
      <c r="T166" s="795">
        <f>heating!Q33</f>
        <v>0</v>
      </c>
      <c r="U166" s="795"/>
      <c r="V166" s="19"/>
      <c r="W166" s="1"/>
      <c r="Y166" s="1"/>
    </row>
    <row r="167" spans="1:25" s="789" customFormat="1" ht="19.5" customHeight="1">
      <c r="A167" s="41"/>
      <c r="B167" s="790">
        <f>heating!B34</f>
        <v>0</v>
      </c>
      <c r="C167" s="790"/>
      <c r="D167" s="790"/>
      <c r="E167" s="793">
        <f>heating!E34</f>
        <v>0</v>
      </c>
      <c r="F167" s="793"/>
      <c r="G167" s="824">
        <f>heating!H34</f>
        <v>0</v>
      </c>
      <c r="H167" s="825" t="s">
        <v>444</v>
      </c>
      <c r="I167" s="792">
        <f>heating!I34</f>
        <v>0</v>
      </c>
      <c r="J167" s="792"/>
      <c r="K167" s="792"/>
      <c r="L167" s="792"/>
      <c r="M167" s="792"/>
      <c r="N167" s="792"/>
      <c r="O167" s="792"/>
      <c r="P167" s="791">
        <f>heating!M34</f>
        <v>0</v>
      </c>
      <c r="Q167" s="791"/>
      <c r="R167" s="806">
        <f>heating!O34</f>
        <v>0</v>
      </c>
      <c r="S167" s="806"/>
      <c r="T167" s="795">
        <f>heating!Q34</f>
        <v>0</v>
      </c>
      <c r="U167" s="795"/>
      <c r="V167" s="19"/>
      <c r="W167" s="1"/>
      <c r="Y167" s="1"/>
    </row>
    <row r="168" spans="1:25" s="789" customFormat="1" ht="19.5" customHeight="1">
      <c r="A168" s="41"/>
      <c r="B168" s="790">
        <f>heating!B35</f>
        <v>0</v>
      </c>
      <c r="C168" s="790"/>
      <c r="D168" s="790"/>
      <c r="E168" s="793">
        <f>heating!E35</f>
        <v>0</v>
      </c>
      <c r="F168" s="793"/>
      <c r="G168" s="824">
        <f>heating!H35</f>
        <v>0</v>
      </c>
      <c r="H168" s="825" t="s">
        <v>444</v>
      </c>
      <c r="I168" s="792">
        <f>heating!I35</f>
        <v>0</v>
      </c>
      <c r="J168" s="792"/>
      <c r="K168" s="792"/>
      <c r="L168" s="792"/>
      <c r="M168" s="792"/>
      <c r="N168" s="792"/>
      <c r="O168" s="792"/>
      <c r="P168" s="791">
        <f>heating!M35</f>
        <v>0</v>
      </c>
      <c r="Q168" s="791"/>
      <c r="R168" s="806">
        <f>heating!O35</f>
        <v>0</v>
      </c>
      <c r="S168" s="806"/>
      <c r="T168" s="795">
        <f>heating!Q35</f>
        <v>0</v>
      </c>
      <c r="U168" s="795"/>
      <c r="V168" s="19"/>
      <c r="W168" s="1"/>
      <c r="Y168" s="1"/>
    </row>
    <row r="169" spans="1:25" s="789" customFormat="1" ht="19.5" customHeight="1">
      <c r="A169" s="41"/>
      <c r="B169" s="790">
        <f>heating!B36</f>
        <v>0</v>
      </c>
      <c r="C169" s="790"/>
      <c r="D169" s="790"/>
      <c r="E169" s="793">
        <f>heating!E36</f>
        <v>0</v>
      </c>
      <c r="F169" s="793"/>
      <c r="G169" s="824">
        <f>heating!H36</f>
        <v>0</v>
      </c>
      <c r="H169" s="825" t="s">
        <v>444</v>
      </c>
      <c r="I169" s="792">
        <f>heating!I36</f>
        <v>0</v>
      </c>
      <c r="J169" s="792"/>
      <c r="K169" s="792"/>
      <c r="L169" s="792"/>
      <c r="M169" s="792"/>
      <c r="N169" s="792"/>
      <c r="O169" s="792"/>
      <c r="P169" s="791">
        <f>heating!M36</f>
        <v>0</v>
      </c>
      <c r="Q169" s="791"/>
      <c r="R169" s="806">
        <f>heating!O36</f>
        <v>0</v>
      </c>
      <c r="S169" s="806"/>
      <c r="T169" s="795">
        <f>heating!Q36</f>
        <v>0</v>
      </c>
      <c r="U169" s="795"/>
      <c r="V169" s="19"/>
      <c r="W169" s="1"/>
      <c r="Y169" s="1"/>
    </row>
    <row r="170" spans="1:25" s="789" customFormat="1" ht="19.5" customHeight="1">
      <c r="A170" s="41"/>
      <c r="B170" s="790">
        <f>heating!B37</f>
        <v>0</v>
      </c>
      <c r="C170" s="790"/>
      <c r="D170" s="790"/>
      <c r="E170" s="793">
        <f>heating!E37</f>
        <v>0</v>
      </c>
      <c r="F170" s="793"/>
      <c r="G170" s="824">
        <f>heating!H37</f>
        <v>0</v>
      </c>
      <c r="H170" s="825" t="s">
        <v>444</v>
      </c>
      <c r="I170" s="792">
        <f>heating!I37</f>
        <v>0</v>
      </c>
      <c r="J170" s="792"/>
      <c r="K170" s="792"/>
      <c r="L170" s="792"/>
      <c r="M170" s="792"/>
      <c r="N170" s="792"/>
      <c r="O170" s="792"/>
      <c r="P170" s="791">
        <f>heating!M37</f>
        <v>0</v>
      </c>
      <c r="Q170" s="791"/>
      <c r="R170" s="806">
        <f>heating!O37</f>
        <v>0</v>
      </c>
      <c r="S170" s="806"/>
      <c r="T170" s="795">
        <f>heating!Q37</f>
        <v>0</v>
      </c>
      <c r="U170" s="795"/>
      <c r="V170" s="19"/>
      <c r="W170" s="1"/>
      <c r="Y170" s="1"/>
    </row>
    <row r="171" spans="1:25" s="789" customFormat="1" ht="19.5" customHeight="1" hidden="1">
      <c r="A171" s="41"/>
      <c r="B171" s="790">
        <f>heating!B38</f>
        <v>0</v>
      </c>
      <c r="C171" s="790"/>
      <c r="D171" s="790"/>
      <c r="E171" s="793">
        <f>heating!E38</f>
        <v>0</v>
      </c>
      <c r="F171" s="793"/>
      <c r="G171" s="824">
        <f>heating!H38</f>
        <v>0</v>
      </c>
      <c r="H171" s="825" t="s">
        <v>444</v>
      </c>
      <c r="I171" s="792">
        <f>heating!I38</f>
        <v>0</v>
      </c>
      <c r="J171" s="792"/>
      <c r="K171" s="792"/>
      <c r="L171" s="792"/>
      <c r="M171" s="792"/>
      <c r="N171" s="792"/>
      <c r="O171" s="792"/>
      <c r="P171" s="791">
        <f>heating!M38</f>
        <v>0</v>
      </c>
      <c r="Q171" s="791"/>
      <c r="R171" s="806">
        <f>heating!O38</f>
        <v>0</v>
      </c>
      <c r="S171" s="806"/>
      <c r="T171" s="795">
        <f>heating!Q38</f>
        <v>0</v>
      </c>
      <c r="U171" s="795"/>
      <c r="V171" s="19"/>
      <c r="W171" s="1"/>
      <c r="Y171" s="1"/>
    </row>
    <row r="172" spans="1:25" s="789" customFormat="1" ht="19.5" customHeight="1" hidden="1">
      <c r="A172" s="41"/>
      <c r="B172" s="790">
        <f>heating!B39</f>
        <v>0</v>
      </c>
      <c r="C172" s="790"/>
      <c r="D172" s="790"/>
      <c r="E172" s="793">
        <f>heating!E39</f>
        <v>0</v>
      </c>
      <c r="F172" s="793"/>
      <c r="G172" s="824">
        <f>heating!H39</f>
        <v>0</v>
      </c>
      <c r="H172" s="825" t="s">
        <v>444</v>
      </c>
      <c r="I172" s="792">
        <f>heating!I39</f>
        <v>0</v>
      </c>
      <c r="J172" s="792"/>
      <c r="K172" s="792"/>
      <c r="L172" s="792"/>
      <c r="M172" s="792"/>
      <c r="N172" s="792"/>
      <c r="O172" s="792"/>
      <c r="P172" s="791">
        <f>heating!M39</f>
        <v>0</v>
      </c>
      <c r="Q172" s="791"/>
      <c r="R172" s="806">
        <f>heating!O39</f>
        <v>0</v>
      </c>
      <c r="S172" s="806"/>
      <c r="T172" s="795">
        <f>heating!Q39</f>
        <v>0</v>
      </c>
      <c r="U172" s="795"/>
      <c r="V172" s="19"/>
      <c r="W172" s="1"/>
      <c r="Y172" s="1"/>
    </row>
    <row r="173" spans="1:25" s="789" customFormat="1" ht="19.5" customHeight="1" hidden="1">
      <c r="A173" s="41"/>
      <c r="B173" s="790">
        <f>heating!B47</f>
        <v>0</v>
      </c>
      <c r="C173" s="790"/>
      <c r="D173" s="790"/>
      <c r="E173" s="793">
        <f>heating!E47</f>
        <v>0</v>
      </c>
      <c r="F173" s="793"/>
      <c r="G173" s="824">
        <f>heating!H47</f>
        <v>0</v>
      </c>
      <c r="H173" s="825" t="s">
        <v>98</v>
      </c>
      <c r="I173" s="792">
        <f>heating!I47</f>
        <v>0</v>
      </c>
      <c r="J173" s="792"/>
      <c r="K173" s="792"/>
      <c r="L173" s="792"/>
      <c r="M173" s="792"/>
      <c r="N173" s="792"/>
      <c r="O173" s="792"/>
      <c r="P173" s="791">
        <f>heating!M47</f>
        <v>0</v>
      </c>
      <c r="Q173" s="791"/>
      <c r="R173" s="806">
        <f>heating!O47</f>
        <v>0</v>
      </c>
      <c r="S173" s="806"/>
      <c r="T173" s="795">
        <f>heating!Q47</f>
        <v>0</v>
      </c>
      <c r="U173" s="795"/>
      <c r="V173" s="19"/>
      <c r="W173" s="1"/>
      <c r="Y173" s="1"/>
    </row>
    <row r="174" spans="1:25" s="789" customFormat="1" ht="19.5" customHeight="1" hidden="1">
      <c r="A174" s="41"/>
      <c r="B174" s="790">
        <f>heating!B48</f>
        <v>0</v>
      </c>
      <c r="C174" s="790"/>
      <c r="D174" s="790"/>
      <c r="E174" s="793">
        <f>heating!E48</f>
        <v>0</v>
      </c>
      <c r="F174" s="793"/>
      <c r="G174" s="824">
        <f>heating!H48</f>
        <v>0</v>
      </c>
      <c r="H174" s="825" t="s">
        <v>98</v>
      </c>
      <c r="I174" s="792">
        <f>heating!I48</f>
        <v>0</v>
      </c>
      <c r="J174" s="792"/>
      <c r="K174" s="792"/>
      <c r="L174" s="792"/>
      <c r="M174" s="792"/>
      <c r="N174" s="792"/>
      <c r="O174" s="792"/>
      <c r="P174" s="791">
        <f>heating!M48</f>
        <v>0</v>
      </c>
      <c r="Q174" s="791"/>
      <c r="R174" s="806">
        <f>heating!O48</f>
        <v>0</v>
      </c>
      <c r="S174" s="806"/>
      <c r="T174" s="795">
        <f>heating!Q48</f>
        <v>0</v>
      </c>
      <c r="U174" s="795"/>
      <c r="V174" s="19"/>
      <c r="W174" s="1"/>
      <c r="Y174" s="1"/>
    </row>
    <row r="175" spans="1:25" s="789" customFormat="1" ht="19.5" customHeight="1" hidden="1">
      <c r="A175" s="41"/>
      <c r="B175" s="790">
        <f>heating!B49</f>
        <v>0</v>
      </c>
      <c r="C175" s="790"/>
      <c r="D175" s="790"/>
      <c r="E175" s="793">
        <f>heating!E49</f>
        <v>0</v>
      </c>
      <c r="F175" s="793"/>
      <c r="G175" s="824">
        <f>heating!H49</f>
        <v>0</v>
      </c>
      <c r="H175" s="825" t="s">
        <v>98</v>
      </c>
      <c r="I175" s="792">
        <f>heating!I49</f>
        <v>0</v>
      </c>
      <c r="J175" s="792"/>
      <c r="K175" s="792"/>
      <c r="L175" s="792"/>
      <c r="M175" s="792"/>
      <c r="N175" s="792"/>
      <c r="O175" s="792"/>
      <c r="P175" s="791">
        <f>heating!M49</f>
        <v>0</v>
      </c>
      <c r="Q175" s="791"/>
      <c r="R175" s="806">
        <f>heating!O49</f>
        <v>0</v>
      </c>
      <c r="S175" s="806"/>
      <c r="T175" s="795">
        <f>heating!Q49</f>
        <v>0</v>
      </c>
      <c r="U175" s="795"/>
      <c r="V175" s="19"/>
      <c r="W175" s="1"/>
      <c r="Y175" s="1"/>
    </row>
    <row r="176" spans="1:25" s="789" customFormat="1" ht="19.5" customHeight="1" hidden="1">
      <c r="A176" s="41"/>
      <c r="B176" s="790">
        <f>heating!B50</f>
        <v>0</v>
      </c>
      <c r="C176" s="790"/>
      <c r="D176" s="790"/>
      <c r="E176" s="793">
        <f>heating!E50</f>
        <v>0</v>
      </c>
      <c r="F176" s="793"/>
      <c r="G176" s="824">
        <f>heating!H50</f>
        <v>0</v>
      </c>
      <c r="H176" s="825" t="s">
        <v>98</v>
      </c>
      <c r="I176" s="792">
        <f>heating!I50</f>
        <v>0</v>
      </c>
      <c r="J176" s="792"/>
      <c r="K176" s="792"/>
      <c r="L176" s="792"/>
      <c r="M176" s="792"/>
      <c r="N176" s="792"/>
      <c r="O176" s="792"/>
      <c r="P176" s="791">
        <f>heating!M50</f>
        <v>0</v>
      </c>
      <c r="Q176" s="791"/>
      <c r="R176" s="806">
        <f>heating!O50</f>
        <v>0</v>
      </c>
      <c r="S176" s="806"/>
      <c r="T176" s="795">
        <f>heating!Q50</f>
        <v>0</v>
      </c>
      <c r="U176" s="795"/>
      <c r="V176" s="19"/>
      <c r="W176" s="1"/>
      <c r="Y176" s="1"/>
    </row>
    <row r="177" spans="1:25" s="789" customFormat="1" ht="19.5" customHeight="1" hidden="1">
      <c r="A177" s="41"/>
      <c r="B177" s="790">
        <f>heating!B51</f>
        <v>0</v>
      </c>
      <c r="C177" s="790"/>
      <c r="D177" s="790"/>
      <c r="E177" s="793">
        <f>heating!E51</f>
        <v>0</v>
      </c>
      <c r="F177" s="793"/>
      <c r="G177" s="824">
        <f>heating!H51</f>
        <v>0</v>
      </c>
      <c r="H177" s="825" t="s">
        <v>98</v>
      </c>
      <c r="I177" s="792">
        <f>heating!I51</f>
        <v>0</v>
      </c>
      <c r="J177" s="792"/>
      <c r="K177" s="792"/>
      <c r="L177" s="792"/>
      <c r="M177" s="792"/>
      <c r="N177" s="792"/>
      <c r="O177" s="792"/>
      <c r="P177" s="791">
        <f>heating!M51</f>
        <v>0</v>
      </c>
      <c r="Q177" s="791"/>
      <c r="R177" s="806">
        <f>heating!O51</f>
        <v>0</v>
      </c>
      <c r="S177" s="806"/>
      <c r="T177" s="795">
        <f>heating!Q51</f>
        <v>0</v>
      </c>
      <c r="U177" s="795"/>
      <c r="V177" s="19"/>
      <c r="W177" s="1"/>
      <c r="Y177" s="1"/>
    </row>
    <row r="178" spans="1:25" s="789" customFormat="1" ht="19.5" customHeight="1" hidden="1">
      <c r="A178" s="41"/>
      <c r="B178" s="790">
        <f>heating!B52</f>
        <v>0</v>
      </c>
      <c r="C178" s="790"/>
      <c r="D178" s="790"/>
      <c r="E178" s="793">
        <f>heating!E52</f>
        <v>0</v>
      </c>
      <c r="F178" s="793"/>
      <c r="G178" s="824">
        <f>heating!H52</f>
        <v>0</v>
      </c>
      <c r="H178" s="825" t="s">
        <v>98</v>
      </c>
      <c r="I178" s="792">
        <f>heating!I52</f>
        <v>0</v>
      </c>
      <c r="J178" s="792"/>
      <c r="K178" s="792"/>
      <c r="L178" s="792"/>
      <c r="M178" s="792"/>
      <c r="N178" s="792"/>
      <c r="O178" s="792"/>
      <c r="P178" s="791">
        <f>heating!M52</f>
        <v>0</v>
      </c>
      <c r="Q178" s="791"/>
      <c r="R178" s="806">
        <f>heating!O52</f>
        <v>0</v>
      </c>
      <c r="S178" s="806"/>
      <c r="T178" s="795">
        <f>heating!Q52</f>
        <v>0</v>
      </c>
      <c r="U178" s="795"/>
      <c r="V178" s="19"/>
      <c r="W178" s="1"/>
      <c r="Y178" s="1"/>
    </row>
    <row r="179" spans="1:25" s="789" customFormat="1" ht="19.5" customHeight="1" hidden="1">
      <c r="A179" s="41"/>
      <c r="B179" s="790">
        <f>heating!B53</f>
        <v>0</v>
      </c>
      <c r="C179" s="790"/>
      <c r="D179" s="790"/>
      <c r="E179" s="793">
        <f>heating!E53</f>
        <v>0</v>
      </c>
      <c r="F179" s="793"/>
      <c r="G179" s="824">
        <f>heating!H53</f>
        <v>0</v>
      </c>
      <c r="H179" s="825" t="s">
        <v>98</v>
      </c>
      <c r="I179" s="792">
        <f>heating!I53</f>
        <v>0</v>
      </c>
      <c r="J179" s="792"/>
      <c r="K179" s="792"/>
      <c r="L179" s="792"/>
      <c r="M179" s="792"/>
      <c r="N179" s="792"/>
      <c r="O179" s="792"/>
      <c r="P179" s="791">
        <f>heating!M53</f>
        <v>0</v>
      </c>
      <c r="Q179" s="791"/>
      <c r="R179" s="806">
        <f>heating!O53</f>
        <v>0</v>
      </c>
      <c r="S179" s="806"/>
      <c r="T179" s="795">
        <f>heating!Q53</f>
        <v>0</v>
      </c>
      <c r="U179" s="795"/>
      <c r="V179" s="19"/>
      <c r="W179" s="1"/>
      <c r="Y179" s="1"/>
    </row>
    <row r="180" spans="1:25" s="789" customFormat="1" ht="19.5" customHeight="1" hidden="1">
      <c r="A180" s="41"/>
      <c r="B180" s="790">
        <f>heating!B54</f>
        <v>0</v>
      </c>
      <c r="C180" s="790"/>
      <c r="D180" s="790"/>
      <c r="E180" s="793">
        <f>heating!E54</f>
        <v>0</v>
      </c>
      <c r="F180" s="793"/>
      <c r="G180" s="824">
        <f>heating!H54</f>
        <v>0</v>
      </c>
      <c r="H180" s="825" t="s">
        <v>98</v>
      </c>
      <c r="I180" s="792">
        <f>heating!I54</f>
        <v>0</v>
      </c>
      <c r="J180" s="792"/>
      <c r="K180" s="792"/>
      <c r="L180" s="792"/>
      <c r="M180" s="792"/>
      <c r="N180" s="792"/>
      <c r="O180" s="792"/>
      <c r="P180" s="791">
        <f>heating!M54</f>
        <v>0</v>
      </c>
      <c r="Q180" s="791"/>
      <c r="R180" s="806">
        <f>heating!O54</f>
        <v>0</v>
      </c>
      <c r="S180" s="806"/>
      <c r="T180" s="795">
        <f>heating!Q54</f>
        <v>0</v>
      </c>
      <c r="U180" s="795"/>
      <c r="V180" s="19"/>
      <c r="W180" s="1"/>
      <c r="Y180" s="1"/>
    </row>
    <row r="181" spans="1:25" s="789" customFormat="1" ht="19.5" customHeight="1" hidden="1">
      <c r="A181" s="41"/>
      <c r="B181" s="790">
        <f>heating!B55</f>
        <v>0</v>
      </c>
      <c r="C181" s="790"/>
      <c r="D181" s="790"/>
      <c r="E181" s="793">
        <f>heating!E55</f>
        <v>0</v>
      </c>
      <c r="F181" s="793"/>
      <c r="G181" s="824">
        <f>heating!H55</f>
        <v>0</v>
      </c>
      <c r="H181" s="825" t="s">
        <v>98</v>
      </c>
      <c r="I181" s="792">
        <f>heating!I55</f>
        <v>0</v>
      </c>
      <c r="J181" s="792"/>
      <c r="K181" s="792"/>
      <c r="L181" s="792"/>
      <c r="M181" s="792"/>
      <c r="N181" s="792"/>
      <c r="O181" s="792"/>
      <c r="P181" s="791">
        <f>heating!M55</f>
        <v>0</v>
      </c>
      <c r="Q181" s="791"/>
      <c r="R181" s="806">
        <f>heating!O55</f>
        <v>0</v>
      </c>
      <c r="S181" s="806"/>
      <c r="T181" s="795">
        <f>heating!Q55</f>
        <v>0</v>
      </c>
      <c r="U181" s="795"/>
      <c r="V181" s="19"/>
      <c r="W181" s="1"/>
      <c r="Y181" s="1"/>
    </row>
    <row r="182" spans="1:25" s="789" customFormat="1" ht="19.5" customHeight="1" hidden="1">
      <c r="A182" s="41"/>
      <c r="B182" s="790">
        <f>heating!B56</f>
        <v>0</v>
      </c>
      <c r="C182" s="790"/>
      <c r="D182" s="790"/>
      <c r="E182" s="793">
        <f>heating!E56</f>
        <v>0</v>
      </c>
      <c r="F182" s="793"/>
      <c r="G182" s="824">
        <f>heating!H56</f>
        <v>0</v>
      </c>
      <c r="H182" s="825" t="s">
        <v>98</v>
      </c>
      <c r="I182" s="792">
        <f>heating!I56</f>
        <v>0</v>
      </c>
      <c r="J182" s="792"/>
      <c r="K182" s="792"/>
      <c r="L182" s="792"/>
      <c r="M182" s="792"/>
      <c r="N182" s="792"/>
      <c r="O182" s="792"/>
      <c r="P182" s="791">
        <f>heating!M56</f>
        <v>0</v>
      </c>
      <c r="Q182" s="791"/>
      <c r="R182" s="806">
        <f>heating!O56</f>
        <v>0</v>
      </c>
      <c r="S182" s="806"/>
      <c r="T182" s="795">
        <f>heating!Q56</f>
        <v>0</v>
      </c>
      <c r="U182" s="795"/>
      <c r="V182" s="19"/>
      <c r="W182" s="1"/>
      <c r="Y182" s="1"/>
    </row>
    <row r="183" spans="1:25" s="789" customFormat="1" ht="19.5" customHeight="1">
      <c r="A183" s="41"/>
      <c r="B183" s="797" t="s">
        <v>268</v>
      </c>
      <c r="C183" s="797"/>
      <c r="D183" s="797"/>
      <c r="E183" s="797"/>
      <c r="F183" s="797"/>
      <c r="G183" s="797"/>
      <c r="H183" s="797"/>
      <c r="I183" s="797"/>
      <c r="J183" s="797"/>
      <c r="K183" s="797"/>
      <c r="L183" s="797"/>
      <c r="M183" s="797"/>
      <c r="N183" s="797"/>
      <c r="O183" s="797"/>
      <c r="P183" s="822">
        <f>SUM(P163:Q182)</f>
        <v>0</v>
      </c>
      <c r="Q183" s="822"/>
      <c r="R183" s="800">
        <f>SUM(R163:S182)</f>
        <v>0</v>
      </c>
      <c r="S183" s="800"/>
      <c r="T183" s="800">
        <f>SUM(T163:U182)</f>
        <v>0</v>
      </c>
      <c r="U183" s="800"/>
      <c r="V183" s="19"/>
      <c r="W183" s="1"/>
      <c r="Y183" s="1"/>
    </row>
    <row r="184" spans="1:25" s="789" customFormat="1" ht="26.25" customHeight="1" hidden="1">
      <c r="A184" s="41" t="s">
        <v>697</v>
      </c>
      <c r="B184" s="815">
        <f>B156</f>
        <v>0</v>
      </c>
      <c r="C184"/>
      <c r="D184"/>
      <c r="E184"/>
      <c r="F184"/>
      <c r="G184"/>
      <c r="H184"/>
      <c r="I184"/>
      <c r="J184"/>
      <c r="K184"/>
      <c r="L184"/>
      <c r="M184"/>
      <c r="N184"/>
      <c r="O184"/>
      <c r="P184"/>
      <c r="Q184"/>
      <c r="R184"/>
      <c r="S184"/>
      <c r="T184"/>
      <c r="U184"/>
      <c r="V184" s="19"/>
      <c r="W184" s="1"/>
      <c r="Y184" s="1"/>
    </row>
    <row r="185" spans="1:25" s="789" customFormat="1" ht="19.5" customHeight="1" hidden="1">
      <c r="A185" s="41"/>
      <c r="B185" s="802">
        <f>heating!B60</f>
        <v>0</v>
      </c>
      <c r="C185" s="802"/>
      <c r="D185" s="802"/>
      <c r="E185" s="802"/>
      <c r="F185" s="802"/>
      <c r="G185" s="802"/>
      <c r="H185" s="802"/>
      <c r="I185" s="802"/>
      <c r="J185" s="802"/>
      <c r="K185" s="802"/>
      <c r="L185" s="802"/>
      <c r="M185" s="802"/>
      <c r="N185" s="802"/>
      <c r="O185" s="802"/>
      <c r="P185" s="802"/>
      <c r="Q185" s="802"/>
      <c r="R185" s="802"/>
      <c r="S185" s="802"/>
      <c r="T185" s="802"/>
      <c r="U185" s="802"/>
      <c r="V185" s="19"/>
      <c r="W185" s="1"/>
      <c r="Y185" s="1"/>
    </row>
    <row r="186" spans="1:25" s="789" customFormat="1" ht="19.5" customHeight="1" hidden="1">
      <c r="A186" s="41"/>
      <c r="B186" s="802">
        <f>heating!B61</f>
        <v>0</v>
      </c>
      <c r="C186" s="802"/>
      <c r="D186" s="802"/>
      <c r="E186" s="802"/>
      <c r="F186" s="802"/>
      <c r="G186" s="802"/>
      <c r="H186" s="802"/>
      <c r="I186" s="802"/>
      <c r="J186" s="802"/>
      <c r="K186" s="802"/>
      <c r="L186" s="802"/>
      <c r="M186" s="802"/>
      <c r="N186" s="802"/>
      <c r="O186" s="802"/>
      <c r="P186" s="802"/>
      <c r="Q186" s="802"/>
      <c r="R186" s="802"/>
      <c r="S186" s="802"/>
      <c r="T186" s="802"/>
      <c r="U186" s="802"/>
      <c r="V186" s="19"/>
      <c r="W186" s="1"/>
      <c r="Y186" s="1"/>
    </row>
    <row r="187" spans="1:25" s="789" customFormat="1" ht="63.75" customHeight="1">
      <c r="A187" s="41"/>
      <c r="B187" s="804"/>
      <c r="C187" s="804"/>
      <c r="D187" s="804"/>
      <c r="E187" s="804"/>
      <c r="F187" s="804"/>
      <c r="G187" s="804"/>
      <c r="H187" s="804"/>
      <c r="I187" s="804"/>
      <c r="J187" s="804"/>
      <c r="K187" s="804"/>
      <c r="L187" s="804"/>
      <c r="M187" s="804"/>
      <c r="N187" s="804"/>
      <c r="O187" s="804"/>
      <c r="P187" s="804"/>
      <c r="Q187" s="804"/>
      <c r="R187" s="804"/>
      <c r="S187" s="804"/>
      <c r="T187" s="804"/>
      <c r="U187" s="804"/>
      <c r="V187" s="19"/>
      <c r="W187" s="1"/>
      <c r="Y187" s="1"/>
    </row>
    <row r="188" spans="1:25" s="789" customFormat="1" ht="25.5" customHeight="1">
      <c r="A188" s="41"/>
      <c r="B188" s="785" t="s">
        <v>698</v>
      </c>
      <c r="C188"/>
      <c r="D188"/>
      <c r="E188"/>
      <c r="F188"/>
      <c r="G188"/>
      <c r="H188"/>
      <c r="I188"/>
      <c r="J188"/>
      <c r="K188"/>
      <c r="L188"/>
      <c r="M188"/>
      <c r="N188"/>
      <c r="O188"/>
      <c r="P188"/>
      <c r="Q188"/>
      <c r="R188"/>
      <c r="S188"/>
      <c r="T188"/>
      <c r="U188"/>
      <c r="V188" s="19"/>
      <c r="W188" s="1"/>
      <c r="Y188" s="1"/>
    </row>
    <row r="189" spans="1:25" s="789" customFormat="1" ht="19.5" customHeight="1">
      <c r="A189" s="41"/>
      <c r="B189" s="827">
        <f>heating!B74</f>
        <v>0</v>
      </c>
      <c r="C189" s="827"/>
      <c r="D189" s="827"/>
      <c r="E189" s="827">
        <f>heating!E74</f>
        <v>0</v>
      </c>
      <c r="F189" s="827"/>
      <c r="G189" s="827"/>
      <c r="H189" s="823" t="s">
        <v>699</v>
      </c>
      <c r="I189" s="787" t="s">
        <v>686</v>
      </c>
      <c r="J189" s="787"/>
      <c r="K189" s="787"/>
      <c r="L189" s="787"/>
      <c r="M189" s="787"/>
      <c r="N189" s="787"/>
      <c r="O189" s="787"/>
      <c r="P189" s="788" t="s">
        <v>687</v>
      </c>
      <c r="Q189" s="788"/>
      <c r="R189" s="788"/>
      <c r="S189" s="788"/>
      <c r="T189" s="788" t="s">
        <v>280</v>
      </c>
      <c r="U189" s="788"/>
      <c r="V189" s="19"/>
      <c r="W189" s="1"/>
      <c r="Y189" s="1"/>
    </row>
    <row r="190" spans="1:25" s="789" customFormat="1" ht="19.5" customHeight="1">
      <c r="A190" s="41"/>
      <c r="B190" s="827"/>
      <c r="C190" s="827"/>
      <c r="D190" s="827"/>
      <c r="E190" s="827"/>
      <c r="F190" s="827"/>
      <c r="G190" s="827"/>
      <c r="H190" s="823"/>
      <c r="I190" s="787"/>
      <c r="J190" s="787"/>
      <c r="K190" s="787"/>
      <c r="L190" s="787"/>
      <c r="M190" s="787"/>
      <c r="N190" s="787"/>
      <c r="O190" s="787"/>
      <c r="P190" s="129" t="s">
        <v>693</v>
      </c>
      <c r="Q190" s="129"/>
      <c r="R190" s="129" t="s">
        <v>660</v>
      </c>
      <c r="S190" s="129"/>
      <c r="T190" s="788"/>
      <c r="U190" s="788"/>
      <c r="V190" s="19"/>
      <c r="W190" s="1"/>
      <c r="Y190" s="1"/>
    </row>
    <row r="191" spans="1:25" s="789" customFormat="1" ht="19.5" customHeight="1">
      <c r="A191" s="41"/>
      <c r="B191" s="790">
        <f>heating!B76</f>
        <v>0</v>
      </c>
      <c r="C191" s="790"/>
      <c r="D191" s="790"/>
      <c r="E191" s="828">
        <f>heating!E76</f>
        <v>0</v>
      </c>
      <c r="F191" s="828"/>
      <c r="G191" s="828"/>
      <c r="H191" s="793">
        <f>heating!H76</f>
        <v>0</v>
      </c>
      <c r="I191" s="829">
        <f>heating!I76</f>
        <v>0</v>
      </c>
      <c r="J191" s="829"/>
      <c r="K191" s="829"/>
      <c r="L191" s="829"/>
      <c r="M191" s="829"/>
      <c r="N191" s="829"/>
      <c r="O191" s="829"/>
      <c r="P191" s="791">
        <f>heating!M76</f>
        <v>0</v>
      </c>
      <c r="Q191" s="791"/>
      <c r="R191" s="806">
        <f>heating!O76</f>
        <v>0</v>
      </c>
      <c r="S191" s="806"/>
      <c r="T191" s="795">
        <f>heating!Q76</f>
        <v>0</v>
      </c>
      <c r="U191" s="795"/>
      <c r="V191" s="19"/>
      <c r="W191" s="1"/>
      <c r="Y191" s="1"/>
    </row>
    <row r="192" spans="1:25" s="789" customFormat="1" ht="19.5" customHeight="1">
      <c r="A192" s="41"/>
      <c r="B192" s="790">
        <f>heating!B77</f>
        <v>0</v>
      </c>
      <c r="C192" s="790"/>
      <c r="D192" s="790"/>
      <c r="E192" s="828">
        <f>heating!E77</f>
        <v>0</v>
      </c>
      <c r="F192" s="828"/>
      <c r="G192" s="828"/>
      <c r="H192" s="793">
        <f>heating!H77</f>
        <v>0</v>
      </c>
      <c r="I192" s="829">
        <f>heating!I77</f>
        <v>0</v>
      </c>
      <c r="J192" s="829"/>
      <c r="K192" s="829"/>
      <c r="L192" s="829"/>
      <c r="M192" s="829"/>
      <c r="N192" s="829"/>
      <c r="O192" s="829"/>
      <c r="P192" s="791">
        <f>heating!M77</f>
        <v>0</v>
      </c>
      <c r="Q192" s="791"/>
      <c r="R192" s="806">
        <f>heating!O77</f>
        <v>0</v>
      </c>
      <c r="S192" s="806"/>
      <c r="T192" s="795">
        <f>heating!Q77</f>
        <v>0</v>
      </c>
      <c r="U192" s="795"/>
      <c r="V192" s="19"/>
      <c r="W192" s="1"/>
      <c r="Y192" s="1"/>
    </row>
    <row r="193" spans="1:25" s="789" customFormat="1" ht="19.5" customHeight="1">
      <c r="A193" s="41"/>
      <c r="B193" s="790">
        <f>heating!B78</f>
        <v>0</v>
      </c>
      <c r="C193" s="790"/>
      <c r="D193" s="790"/>
      <c r="E193" s="790">
        <f>heating!E78</f>
        <v>0</v>
      </c>
      <c r="F193" s="790"/>
      <c r="G193" s="790"/>
      <c r="H193" s="793">
        <f>heating!H78</f>
        <v>0</v>
      </c>
      <c r="I193" s="829">
        <f>heating!I78</f>
        <v>0</v>
      </c>
      <c r="J193" s="829"/>
      <c r="K193" s="829"/>
      <c r="L193" s="829"/>
      <c r="M193" s="829"/>
      <c r="N193" s="829"/>
      <c r="O193" s="829"/>
      <c r="P193" s="791">
        <f>heating!M78</f>
        <v>0</v>
      </c>
      <c r="Q193" s="791"/>
      <c r="R193" s="806">
        <f>heating!O78</f>
        <v>0</v>
      </c>
      <c r="S193" s="806"/>
      <c r="T193" s="795">
        <f>heating!Q78</f>
        <v>0</v>
      </c>
      <c r="U193" s="795"/>
      <c r="V193" s="19"/>
      <c r="W193" s="1"/>
      <c r="Y193" s="1"/>
    </row>
    <row r="194" spans="1:25" s="789" customFormat="1" ht="19.5" customHeight="1" hidden="1">
      <c r="A194" s="41"/>
      <c r="B194" s="790">
        <f>heating!B79</f>
        <v>0</v>
      </c>
      <c r="C194" s="790"/>
      <c r="D194" s="790"/>
      <c r="E194" s="790">
        <f>heating!E79</f>
        <v>0</v>
      </c>
      <c r="F194" s="790"/>
      <c r="G194" s="790"/>
      <c r="H194" s="793">
        <f>heating!H79</f>
        <v>1</v>
      </c>
      <c r="I194" s="829">
        <f>heating!I79</f>
        <v>0</v>
      </c>
      <c r="J194" s="829"/>
      <c r="K194" s="829"/>
      <c r="L194" s="829"/>
      <c r="M194" s="829"/>
      <c r="N194" s="829"/>
      <c r="O194" s="829"/>
      <c r="P194" s="791">
        <f>heating!M79</f>
        <v>0</v>
      </c>
      <c r="Q194" s="791"/>
      <c r="R194" s="806">
        <f>heating!O79</f>
        <v>0</v>
      </c>
      <c r="S194" s="806"/>
      <c r="T194" s="795">
        <f>heating!Q79</f>
        <v>0</v>
      </c>
      <c r="U194" s="795"/>
      <c r="V194" s="19"/>
      <c r="W194" s="1"/>
      <c r="Y194" s="1"/>
    </row>
    <row r="195" spans="1:25" s="789" customFormat="1" ht="19.5" customHeight="1" hidden="1">
      <c r="A195" s="41"/>
      <c r="B195" s="790">
        <f>heating!B80</f>
        <v>0</v>
      </c>
      <c r="C195" s="790"/>
      <c r="D195" s="790"/>
      <c r="E195" s="790">
        <f>heating!E80</f>
        <v>0</v>
      </c>
      <c r="F195" s="790"/>
      <c r="G195" s="790"/>
      <c r="H195" s="793">
        <f>heating!H80</f>
        <v>1</v>
      </c>
      <c r="I195" s="829">
        <f>heating!I80</f>
        <v>0</v>
      </c>
      <c r="J195" s="829"/>
      <c r="K195" s="829"/>
      <c r="L195" s="829"/>
      <c r="M195" s="829"/>
      <c r="N195" s="829"/>
      <c r="O195" s="829"/>
      <c r="P195" s="791">
        <f>heating!M80</f>
        <v>0</v>
      </c>
      <c r="Q195" s="791"/>
      <c r="R195" s="806">
        <f>heating!O80</f>
        <v>0</v>
      </c>
      <c r="S195" s="806"/>
      <c r="T195" s="795">
        <f>heating!Q80</f>
        <v>0</v>
      </c>
      <c r="U195" s="795"/>
      <c r="V195" s="19"/>
      <c r="W195" s="1"/>
      <c r="Y195" s="1"/>
    </row>
    <row r="196" spans="1:25" s="789" customFormat="1" ht="21" customHeight="1">
      <c r="A196" s="41"/>
      <c r="B196" s="797" t="s">
        <v>268</v>
      </c>
      <c r="C196" s="797"/>
      <c r="D196" s="797"/>
      <c r="E196" s="797"/>
      <c r="F196" s="797"/>
      <c r="G196" s="797"/>
      <c r="H196" s="797"/>
      <c r="I196" s="797"/>
      <c r="J196" s="797"/>
      <c r="K196" s="797"/>
      <c r="L196" s="797"/>
      <c r="M196" s="797"/>
      <c r="N196" s="797"/>
      <c r="O196" s="797"/>
      <c r="P196" s="822">
        <f>SUM(P191:Q195)</f>
        <v>0</v>
      </c>
      <c r="Q196" s="822"/>
      <c r="R196" s="800">
        <f>SUM(R191:S195)</f>
        <v>0</v>
      </c>
      <c r="S196" s="800"/>
      <c r="T196" s="800">
        <f>SUM(T191:U195)</f>
        <v>0</v>
      </c>
      <c r="U196" s="800"/>
      <c r="V196" s="19"/>
      <c r="W196" s="1"/>
      <c r="Y196" s="1"/>
    </row>
    <row r="197" spans="1:25" s="789" customFormat="1" ht="27" customHeight="1" hidden="1">
      <c r="A197" s="41"/>
      <c r="B197" s="815">
        <f>heating!B83</f>
        <v>0</v>
      </c>
      <c r="C197"/>
      <c r="D197"/>
      <c r="E197"/>
      <c r="F197"/>
      <c r="G197"/>
      <c r="H197"/>
      <c r="I197"/>
      <c r="J197"/>
      <c r="K197"/>
      <c r="L197"/>
      <c r="M197"/>
      <c r="N197"/>
      <c r="O197"/>
      <c r="P197"/>
      <c r="Q197"/>
      <c r="R197"/>
      <c r="S197"/>
      <c r="T197"/>
      <c r="U197"/>
      <c r="V197" s="19"/>
      <c r="W197" s="1"/>
      <c r="Y197" s="1"/>
    </row>
    <row r="198" spans="1:25" s="789" customFormat="1" ht="19.5" customHeight="1" hidden="1">
      <c r="A198" s="41"/>
      <c r="B198" s="802">
        <f>heating!B84</f>
        <v>0</v>
      </c>
      <c r="C198" s="802"/>
      <c r="D198" s="802"/>
      <c r="E198" s="802"/>
      <c r="F198" s="802"/>
      <c r="G198" s="802"/>
      <c r="H198" s="802"/>
      <c r="I198" s="802"/>
      <c r="J198" s="802"/>
      <c r="K198" s="802"/>
      <c r="L198" s="802"/>
      <c r="M198" s="802"/>
      <c r="N198" s="802"/>
      <c r="O198" s="802"/>
      <c r="P198" s="802"/>
      <c r="Q198" s="802"/>
      <c r="R198" s="802"/>
      <c r="S198" s="802"/>
      <c r="T198" s="802"/>
      <c r="U198" s="802"/>
      <c r="V198" s="19"/>
      <c r="W198" s="1"/>
      <c r="Y198" s="1"/>
    </row>
    <row r="199" spans="1:25" s="789" customFormat="1" ht="19.5" customHeight="1" hidden="1">
      <c r="A199" s="41"/>
      <c r="B199" s="802">
        <f>heating!B85</f>
        <v>0</v>
      </c>
      <c r="C199" s="802"/>
      <c r="D199" s="802"/>
      <c r="E199" s="802"/>
      <c r="F199" s="802"/>
      <c r="G199" s="802"/>
      <c r="H199" s="802"/>
      <c r="I199" s="802"/>
      <c r="J199" s="802"/>
      <c r="K199" s="802"/>
      <c r="L199" s="802"/>
      <c r="M199" s="802"/>
      <c r="N199" s="802"/>
      <c r="O199" s="802"/>
      <c r="P199" s="802"/>
      <c r="Q199" s="802"/>
      <c r="R199" s="802"/>
      <c r="S199" s="802"/>
      <c r="T199" s="802"/>
      <c r="U199" s="802"/>
      <c r="V199" s="19"/>
      <c r="W199" s="1"/>
      <c r="Y199" s="1"/>
    </row>
    <row r="200" spans="1:25" s="789" customFormat="1" ht="60" customHeight="1">
      <c r="A200" s="41"/>
      <c r="B200" s="804"/>
      <c r="C200" s="804"/>
      <c r="D200" s="804"/>
      <c r="E200" s="804"/>
      <c r="F200" s="804"/>
      <c r="G200" s="804"/>
      <c r="H200" s="804"/>
      <c r="I200" s="804"/>
      <c r="J200" s="804"/>
      <c r="K200" s="804"/>
      <c r="L200" s="804"/>
      <c r="M200" s="804"/>
      <c r="N200" s="804"/>
      <c r="O200" s="804"/>
      <c r="P200" s="804"/>
      <c r="Q200" s="804"/>
      <c r="R200" s="804"/>
      <c r="S200" s="804"/>
      <c r="T200" s="804"/>
      <c r="U200" s="804"/>
      <c r="V200" s="19"/>
      <c r="W200" s="1"/>
      <c r="Y200" s="1"/>
    </row>
    <row r="201" spans="1:25" s="789" customFormat="1" ht="25.5" customHeight="1">
      <c r="A201" s="41"/>
      <c r="B201" s="785" t="s">
        <v>700</v>
      </c>
      <c r="C201"/>
      <c r="D201"/>
      <c r="E201"/>
      <c r="F201"/>
      <c r="G201"/>
      <c r="H201"/>
      <c r="I201"/>
      <c r="J201"/>
      <c r="K201"/>
      <c r="L201"/>
      <c r="M201"/>
      <c r="N201"/>
      <c r="O201"/>
      <c r="P201"/>
      <c r="Q201"/>
      <c r="R201"/>
      <c r="S201"/>
      <c r="T201"/>
      <c r="U201"/>
      <c r="V201" s="19"/>
      <c r="W201" s="1"/>
      <c r="Y201" s="1"/>
    </row>
    <row r="202" spans="1:25" s="789" customFormat="1" ht="19.5" customHeight="1">
      <c r="A202" s="41"/>
      <c r="B202" s="787" t="s">
        <v>256</v>
      </c>
      <c r="C202" s="787"/>
      <c r="D202" s="787"/>
      <c r="E202" s="823" t="s">
        <v>699</v>
      </c>
      <c r="F202" s="823"/>
      <c r="G202" s="788" t="s">
        <v>696</v>
      </c>
      <c r="H202" s="788"/>
      <c r="I202" s="787" t="s">
        <v>686</v>
      </c>
      <c r="J202" s="787"/>
      <c r="K202" s="787"/>
      <c r="L202" s="787"/>
      <c r="M202" s="787"/>
      <c r="N202" s="787"/>
      <c r="O202" s="787"/>
      <c r="P202" s="788" t="s">
        <v>687</v>
      </c>
      <c r="Q202" s="788"/>
      <c r="R202" s="788"/>
      <c r="S202" s="788"/>
      <c r="T202" s="129" t="s">
        <v>280</v>
      </c>
      <c r="U202" s="129"/>
      <c r="V202" s="19"/>
      <c r="W202" s="1"/>
      <c r="Y202" s="1"/>
    </row>
    <row r="203" spans="1:25" s="789" customFormat="1" ht="19.5" customHeight="1">
      <c r="A203" s="41"/>
      <c r="B203" s="787"/>
      <c r="C203" s="787"/>
      <c r="D203" s="787"/>
      <c r="E203" s="823"/>
      <c r="F203" s="823"/>
      <c r="G203" s="788"/>
      <c r="H203" s="788"/>
      <c r="I203" s="787"/>
      <c r="J203" s="787"/>
      <c r="K203" s="787"/>
      <c r="L203" s="787"/>
      <c r="M203" s="787"/>
      <c r="N203" s="787"/>
      <c r="O203" s="787"/>
      <c r="P203" s="129" t="s">
        <v>693</v>
      </c>
      <c r="Q203" s="129"/>
      <c r="R203" s="129" t="s">
        <v>660</v>
      </c>
      <c r="S203" s="129"/>
      <c r="T203" s="129"/>
      <c r="U203" s="129"/>
      <c r="V203" s="19"/>
      <c r="W203" s="1"/>
      <c r="Y203" s="1"/>
    </row>
    <row r="204" spans="1:25" s="789" customFormat="1" ht="19.5" customHeight="1">
      <c r="A204" s="41"/>
      <c r="B204" s="790">
        <f>heating!B98</f>
        <v>0</v>
      </c>
      <c r="C204" s="790"/>
      <c r="D204" s="790"/>
      <c r="E204" s="793">
        <f>heating!E98</f>
        <v>0</v>
      </c>
      <c r="F204" s="793"/>
      <c r="G204" s="824">
        <f>heating!H98</f>
        <v>0</v>
      </c>
      <c r="H204" s="825" t="s">
        <v>98</v>
      </c>
      <c r="I204" s="792">
        <f>heating!I98</f>
        <v>0</v>
      </c>
      <c r="J204" s="792"/>
      <c r="K204" s="792"/>
      <c r="L204" s="792"/>
      <c r="M204" s="792"/>
      <c r="N204" s="792"/>
      <c r="O204" s="792"/>
      <c r="P204" s="791">
        <f>heating!M98</f>
        <v>0</v>
      </c>
      <c r="Q204" s="791"/>
      <c r="R204" s="806">
        <f>heating!O98</f>
        <v>0</v>
      </c>
      <c r="S204" s="806"/>
      <c r="T204" s="795">
        <f>heating!Q98</f>
        <v>0</v>
      </c>
      <c r="U204" s="795"/>
      <c r="V204" s="19"/>
      <c r="W204" s="1"/>
      <c r="Y204" s="1"/>
    </row>
    <row r="205" spans="1:25" s="789" customFormat="1" ht="19.5" customHeight="1">
      <c r="A205" s="41"/>
      <c r="B205" s="790">
        <f>heating!B99</f>
        <v>0</v>
      </c>
      <c r="C205" s="790"/>
      <c r="D205" s="790"/>
      <c r="E205" s="793">
        <f>heating!E99</f>
        <v>0</v>
      </c>
      <c r="F205" s="793"/>
      <c r="G205" s="824">
        <f>heating!H99</f>
        <v>0</v>
      </c>
      <c r="H205" s="825" t="s">
        <v>98</v>
      </c>
      <c r="I205" s="792">
        <f>heating!I99</f>
        <v>0</v>
      </c>
      <c r="J205" s="792"/>
      <c r="K205" s="792"/>
      <c r="L205" s="792"/>
      <c r="M205" s="792"/>
      <c r="N205" s="792"/>
      <c r="O205" s="792"/>
      <c r="P205" s="791">
        <f>heating!M99</f>
        <v>0</v>
      </c>
      <c r="Q205" s="791"/>
      <c r="R205" s="806">
        <f>heating!O99</f>
        <v>0</v>
      </c>
      <c r="S205" s="806"/>
      <c r="T205" s="795">
        <f>heating!Q99</f>
        <v>0</v>
      </c>
      <c r="U205" s="795"/>
      <c r="V205" s="19"/>
      <c r="W205" s="1"/>
      <c r="Y205" s="1"/>
    </row>
    <row r="206" spans="1:25" s="789" customFormat="1" ht="19.5" customHeight="1">
      <c r="A206" s="41"/>
      <c r="B206" s="790">
        <f>heating!B100</f>
        <v>0</v>
      </c>
      <c r="C206" s="790"/>
      <c r="D206" s="790"/>
      <c r="E206" s="793">
        <f>heating!E100</f>
        <v>0</v>
      </c>
      <c r="F206" s="793"/>
      <c r="G206" s="824">
        <f>heating!H100</f>
        <v>0</v>
      </c>
      <c r="H206" s="825" t="s">
        <v>98</v>
      </c>
      <c r="I206" s="792">
        <f>heating!I100</f>
        <v>0</v>
      </c>
      <c r="J206" s="792"/>
      <c r="K206" s="792"/>
      <c r="L206" s="792"/>
      <c r="M206" s="792"/>
      <c r="N206" s="792"/>
      <c r="O206" s="792"/>
      <c r="P206" s="791">
        <f>heating!M100</f>
        <v>0</v>
      </c>
      <c r="Q206" s="791"/>
      <c r="R206" s="806">
        <f>heating!O100</f>
        <v>0</v>
      </c>
      <c r="S206" s="806"/>
      <c r="T206" s="795">
        <f>heating!Q100</f>
        <v>0</v>
      </c>
      <c r="U206" s="795"/>
      <c r="V206" s="19"/>
      <c r="W206" s="1"/>
      <c r="Y206" s="1"/>
    </row>
    <row r="207" spans="1:25" s="789" customFormat="1" ht="19.5" customHeight="1">
      <c r="A207" s="41"/>
      <c r="B207" s="790">
        <f>heating!B101</f>
        <v>0</v>
      </c>
      <c r="C207" s="790"/>
      <c r="D207" s="790"/>
      <c r="E207" s="793">
        <f>heating!E101</f>
        <v>0</v>
      </c>
      <c r="F207" s="793"/>
      <c r="G207" s="824">
        <f>heating!H101</f>
        <v>0</v>
      </c>
      <c r="H207" s="825" t="s">
        <v>98</v>
      </c>
      <c r="I207" s="792">
        <f>heating!I101</f>
        <v>0</v>
      </c>
      <c r="J207" s="792"/>
      <c r="K207" s="792"/>
      <c r="L207" s="792"/>
      <c r="M207" s="792"/>
      <c r="N207" s="792"/>
      <c r="O207" s="792"/>
      <c r="P207" s="791">
        <f>heating!M101</f>
        <v>0</v>
      </c>
      <c r="Q207" s="791"/>
      <c r="R207" s="806">
        <f>heating!O101</f>
        <v>0</v>
      </c>
      <c r="S207" s="806"/>
      <c r="T207" s="795">
        <f>heating!Q101</f>
        <v>0</v>
      </c>
      <c r="U207" s="795"/>
      <c r="V207" s="19"/>
      <c r="W207" s="1"/>
      <c r="Y207" s="1"/>
    </row>
    <row r="208" spans="1:25" s="789" customFormat="1" ht="19.5" customHeight="1">
      <c r="A208" s="41"/>
      <c r="B208" s="790">
        <f>heating!B102</f>
        <v>0</v>
      </c>
      <c r="C208" s="790"/>
      <c r="D208" s="790"/>
      <c r="E208" s="793">
        <f>heating!E102</f>
        <v>0</v>
      </c>
      <c r="F208" s="793"/>
      <c r="G208" s="824">
        <f>heating!H102</f>
        <v>0</v>
      </c>
      <c r="H208" s="825" t="s">
        <v>98</v>
      </c>
      <c r="I208" s="792">
        <f>heating!I102</f>
        <v>0</v>
      </c>
      <c r="J208" s="792"/>
      <c r="K208" s="792"/>
      <c r="L208" s="792"/>
      <c r="M208" s="792"/>
      <c r="N208" s="792"/>
      <c r="O208" s="792"/>
      <c r="P208" s="791">
        <f>heating!M102</f>
        <v>0</v>
      </c>
      <c r="Q208" s="791"/>
      <c r="R208" s="806">
        <f>heating!O102</f>
        <v>0</v>
      </c>
      <c r="S208" s="806"/>
      <c r="T208" s="795">
        <f>heating!Q102</f>
        <v>0</v>
      </c>
      <c r="U208" s="795"/>
      <c r="V208" s="19"/>
      <c r="W208" s="1"/>
      <c r="Y208" s="1"/>
    </row>
    <row r="209" spans="1:25" s="789" customFormat="1" ht="19.5" customHeight="1" hidden="1">
      <c r="A209" s="41"/>
      <c r="B209" s="790">
        <f>heating!B103</f>
        <v>0</v>
      </c>
      <c r="C209" s="790"/>
      <c r="D209" s="790"/>
      <c r="E209" s="793">
        <f>heating!E103</f>
        <v>0</v>
      </c>
      <c r="F209" s="793"/>
      <c r="G209" s="824">
        <f>heating!H103</f>
        <v>0</v>
      </c>
      <c r="H209" s="825" t="s">
        <v>98</v>
      </c>
      <c r="I209" s="792">
        <f>heating!I103</f>
        <v>0</v>
      </c>
      <c r="J209" s="792"/>
      <c r="K209" s="792"/>
      <c r="L209" s="792"/>
      <c r="M209" s="792"/>
      <c r="N209" s="792"/>
      <c r="O209" s="792"/>
      <c r="P209" s="791">
        <f>heating!M103</f>
        <v>0</v>
      </c>
      <c r="Q209" s="791"/>
      <c r="R209" s="806">
        <f>heating!O103</f>
        <v>0</v>
      </c>
      <c r="S209" s="806"/>
      <c r="T209" s="795">
        <f>heating!Q103</f>
        <v>0</v>
      </c>
      <c r="U209" s="795"/>
      <c r="V209" s="19"/>
      <c r="W209" s="1"/>
      <c r="Y209" s="1"/>
    </row>
    <row r="210" spans="1:25" s="789" customFormat="1" ht="19.5" customHeight="1" hidden="1">
      <c r="A210" s="41"/>
      <c r="B210" s="790">
        <f>heating!B104</f>
        <v>0</v>
      </c>
      <c r="C210" s="790"/>
      <c r="D210" s="790"/>
      <c r="E210" s="793">
        <f>heating!E104</f>
        <v>0</v>
      </c>
      <c r="F210" s="793"/>
      <c r="G210" s="824">
        <f>heating!H104</f>
        <v>0</v>
      </c>
      <c r="H210" s="825" t="s">
        <v>98</v>
      </c>
      <c r="I210" s="792">
        <f>heating!I104</f>
        <v>0</v>
      </c>
      <c r="J210" s="792"/>
      <c r="K210" s="792"/>
      <c r="L210" s="792"/>
      <c r="M210" s="792"/>
      <c r="N210" s="792"/>
      <c r="O210" s="792"/>
      <c r="P210" s="791">
        <f>heating!M104</f>
        <v>0</v>
      </c>
      <c r="Q210" s="791"/>
      <c r="R210" s="806">
        <f>heating!O104</f>
        <v>0</v>
      </c>
      <c r="S210" s="806"/>
      <c r="T210" s="795">
        <f>heating!Q104</f>
        <v>0</v>
      </c>
      <c r="U210" s="795"/>
      <c r="V210" s="19"/>
      <c r="W210" s="1"/>
      <c r="Y210" s="1"/>
    </row>
    <row r="211" spans="1:25" s="789" customFormat="1" ht="19.5" customHeight="1" hidden="1">
      <c r="A211" s="41"/>
      <c r="B211" s="790">
        <f>heating!B105</f>
        <v>0</v>
      </c>
      <c r="C211" s="790"/>
      <c r="D211" s="790"/>
      <c r="E211" s="793">
        <f>heating!E105</f>
        <v>0</v>
      </c>
      <c r="F211" s="793"/>
      <c r="G211" s="824">
        <f>heating!H105</f>
        <v>0</v>
      </c>
      <c r="H211" s="825" t="s">
        <v>98</v>
      </c>
      <c r="I211" s="792">
        <f>heating!I105</f>
        <v>0</v>
      </c>
      <c r="J211" s="792"/>
      <c r="K211" s="792"/>
      <c r="L211" s="792"/>
      <c r="M211" s="792"/>
      <c r="N211" s="792"/>
      <c r="O211" s="792"/>
      <c r="P211" s="791">
        <f>heating!M105</f>
        <v>0</v>
      </c>
      <c r="Q211" s="791"/>
      <c r="R211" s="806">
        <f>heating!O105</f>
        <v>0</v>
      </c>
      <c r="S211" s="806"/>
      <c r="T211" s="795">
        <f>heating!Q105</f>
        <v>0</v>
      </c>
      <c r="U211" s="795"/>
      <c r="V211" s="19"/>
      <c r="W211" s="1"/>
      <c r="Y211" s="1"/>
    </row>
    <row r="212" spans="1:25" s="789" customFormat="1" ht="12.75" hidden="1">
      <c r="A212" s="41"/>
      <c r="B212" s="790">
        <f>heating!B106</f>
        <v>0</v>
      </c>
      <c r="C212" s="790"/>
      <c r="D212" s="790"/>
      <c r="E212" s="793">
        <f>heating!E106</f>
        <v>0</v>
      </c>
      <c r="F212" s="793"/>
      <c r="G212" s="824">
        <f>heating!H106</f>
        <v>0</v>
      </c>
      <c r="H212" s="825" t="s">
        <v>98</v>
      </c>
      <c r="I212" s="792">
        <f>heating!I106</f>
        <v>0</v>
      </c>
      <c r="J212" s="792"/>
      <c r="K212" s="792"/>
      <c r="L212" s="792"/>
      <c r="M212" s="792"/>
      <c r="N212" s="792"/>
      <c r="O212" s="792"/>
      <c r="P212" s="791">
        <f>heating!M106</f>
        <v>0</v>
      </c>
      <c r="Q212" s="791"/>
      <c r="R212" s="806">
        <f>heating!O106</f>
        <v>0</v>
      </c>
      <c r="S212" s="806"/>
      <c r="T212" s="795">
        <f>heating!Q106</f>
        <v>0</v>
      </c>
      <c r="U212" s="795"/>
      <c r="V212"/>
      <c r="W212" s="1"/>
      <c r="Y212" s="1"/>
    </row>
    <row r="213" spans="1:22" ht="18" customHeight="1" hidden="1">
      <c r="A213" s="41"/>
      <c r="B213" s="790">
        <f>heating!B107</f>
        <v>0</v>
      </c>
      <c r="C213" s="790"/>
      <c r="D213" s="790"/>
      <c r="E213" s="793">
        <f>heating!E107</f>
        <v>0</v>
      </c>
      <c r="F213" s="793"/>
      <c r="G213" s="824">
        <f>heating!H107</f>
        <v>0</v>
      </c>
      <c r="H213" s="825" t="s">
        <v>98</v>
      </c>
      <c r="I213" s="792">
        <f>heating!I107</f>
        <v>0</v>
      </c>
      <c r="J213" s="792"/>
      <c r="K213" s="792"/>
      <c r="L213" s="792"/>
      <c r="M213" s="792"/>
      <c r="N213" s="792"/>
      <c r="O213" s="792"/>
      <c r="P213" s="791">
        <f>heating!M107</f>
        <v>0</v>
      </c>
      <c r="Q213" s="791"/>
      <c r="R213" s="806">
        <f>heating!O107</f>
        <v>0</v>
      </c>
      <c r="S213" s="806"/>
      <c r="T213" s="795">
        <f>heating!Q107</f>
        <v>0</v>
      </c>
      <c r="U213" s="795"/>
      <c r="V213" s="830"/>
    </row>
    <row r="214" spans="1:22" ht="18" customHeight="1" hidden="1">
      <c r="A214" s="41"/>
      <c r="B214" s="790">
        <f>heating!B116</f>
        <v>0</v>
      </c>
      <c r="C214" s="790"/>
      <c r="D214" s="790"/>
      <c r="E214" s="793">
        <f>heating!E116</f>
        <v>0</v>
      </c>
      <c r="F214" s="793"/>
      <c r="G214" s="824">
        <f>heating!H116</f>
        <v>0</v>
      </c>
      <c r="H214" s="825" t="s">
        <v>98</v>
      </c>
      <c r="I214" s="792">
        <f>heating!I116</f>
        <v>0</v>
      </c>
      <c r="J214" s="792"/>
      <c r="K214" s="792"/>
      <c r="L214" s="792"/>
      <c r="M214" s="792"/>
      <c r="N214" s="792"/>
      <c r="O214" s="792"/>
      <c r="P214" s="791">
        <f>heating!M116</f>
        <v>0</v>
      </c>
      <c r="Q214" s="791"/>
      <c r="R214" s="806">
        <f>heating!O116</f>
        <v>0</v>
      </c>
      <c r="S214" s="806"/>
      <c r="T214" s="795">
        <f>heating!Q116</f>
        <v>0</v>
      </c>
      <c r="U214" s="795"/>
      <c r="V214" s="830"/>
    </row>
    <row r="215" spans="1:22" ht="18" customHeight="1" hidden="1">
      <c r="A215" s="41"/>
      <c r="B215" s="790">
        <f>heating!B117</f>
        <v>0</v>
      </c>
      <c r="C215" s="790"/>
      <c r="D215" s="790"/>
      <c r="E215" s="793">
        <f>heating!E117</f>
        <v>0</v>
      </c>
      <c r="F215" s="793"/>
      <c r="G215" s="824">
        <f>heating!H117</f>
        <v>0</v>
      </c>
      <c r="H215" s="825" t="s">
        <v>98</v>
      </c>
      <c r="I215" s="792">
        <f>heating!I117</f>
        <v>0</v>
      </c>
      <c r="J215" s="792"/>
      <c r="K215" s="792"/>
      <c r="L215" s="792"/>
      <c r="M215" s="792"/>
      <c r="N215" s="792"/>
      <c r="O215" s="792"/>
      <c r="P215" s="791">
        <f>heating!M117</f>
        <v>0</v>
      </c>
      <c r="Q215" s="791"/>
      <c r="R215" s="806">
        <f>heating!O117</f>
        <v>0</v>
      </c>
      <c r="S215" s="806"/>
      <c r="T215" s="795">
        <f>heating!Q117</f>
        <v>0</v>
      </c>
      <c r="U215" s="795"/>
      <c r="V215" s="830"/>
    </row>
    <row r="216" spans="1:22" ht="18" customHeight="1" hidden="1">
      <c r="A216" s="41"/>
      <c r="B216" s="790">
        <f>heating!B118</f>
        <v>0</v>
      </c>
      <c r="C216" s="790"/>
      <c r="D216" s="790"/>
      <c r="E216" s="793">
        <f>heating!E118</f>
        <v>0</v>
      </c>
      <c r="F216" s="793"/>
      <c r="G216" s="824">
        <f>heating!H118</f>
        <v>0</v>
      </c>
      <c r="H216" s="825" t="s">
        <v>98</v>
      </c>
      <c r="I216" s="792">
        <f>heating!I118</f>
        <v>0</v>
      </c>
      <c r="J216" s="792"/>
      <c r="K216" s="792"/>
      <c r="L216" s="792"/>
      <c r="M216" s="792"/>
      <c r="N216" s="792"/>
      <c r="O216" s="792"/>
      <c r="P216" s="791">
        <f>heating!M118</f>
        <v>0</v>
      </c>
      <c r="Q216" s="791"/>
      <c r="R216" s="806">
        <f>heating!O118</f>
        <v>0</v>
      </c>
      <c r="S216" s="806"/>
      <c r="T216" s="795">
        <f>heating!Q118</f>
        <v>0</v>
      </c>
      <c r="U216" s="795"/>
      <c r="V216" s="830"/>
    </row>
    <row r="217" spans="1:22" ht="18" customHeight="1" hidden="1">
      <c r="A217" s="41"/>
      <c r="B217" s="790">
        <f>heating!B119</f>
        <v>0</v>
      </c>
      <c r="C217" s="790"/>
      <c r="D217" s="790"/>
      <c r="E217" s="793">
        <f>heating!E119</f>
        <v>0</v>
      </c>
      <c r="F217" s="793"/>
      <c r="G217" s="824">
        <f>heating!H119</f>
        <v>0</v>
      </c>
      <c r="H217" s="825" t="s">
        <v>98</v>
      </c>
      <c r="I217" s="792">
        <f>heating!I119</f>
        <v>0</v>
      </c>
      <c r="J217" s="792"/>
      <c r="K217" s="792"/>
      <c r="L217" s="792"/>
      <c r="M217" s="792"/>
      <c r="N217" s="792"/>
      <c r="O217" s="792"/>
      <c r="P217" s="791">
        <f>heating!M119</f>
        <v>0</v>
      </c>
      <c r="Q217" s="791"/>
      <c r="R217" s="806">
        <f>heating!O119</f>
        <v>0</v>
      </c>
      <c r="S217" s="806"/>
      <c r="T217" s="795">
        <f>heating!Q119</f>
        <v>0</v>
      </c>
      <c r="U217" s="795"/>
      <c r="V217" s="830"/>
    </row>
    <row r="218" spans="1:22" ht="18" customHeight="1" hidden="1">
      <c r="A218" s="41"/>
      <c r="B218" s="790">
        <f>heating!B120</f>
        <v>0</v>
      </c>
      <c r="C218" s="790"/>
      <c r="D218" s="790"/>
      <c r="E218" s="793">
        <f>heating!E120</f>
        <v>0</v>
      </c>
      <c r="F218" s="793"/>
      <c r="G218" s="824">
        <f>heating!H120</f>
        <v>0</v>
      </c>
      <c r="H218" s="825" t="s">
        <v>98</v>
      </c>
      <c r="I218" s="792">
        <f>heating!I120</f>
        <v>0</v>
      </c>
      <c r="J218" s="792"/>
      <c r="K218" s="792"/>
      <c r="L218" s="792"/>
      <c r="M218" s="792"/>
      <c r="N218" s="792"/>
      <c r="O218" s="792"/>
      <c r="P218" s="791">
        <f>heating!M120</f>
        <v>0</v>
      </c>
      <c r="Q218" s="791"/>
      <c r="R218" s="806">
        <f>heating!O120</f>
        <v>0</v>
      </c>
      <c r="S218" s="806"/>
      <c r="T218" s="795">
        <f>heating!Q120</f>
        <v>0</v>
      </c>
      <c r="U218" s="795"/>
      <c r="V218" s="830"/>
    </row>
    <row r="219" spans="1:22" ht="18" customHeight="1" hidden="1">
      <c r="A219" s="41"/>
      <c r="B219" s="790">
        <f>heating!B130</f>
        <v>0</v>
      </c>
      <c r="C219" s="790"/>
      <c r="D219" s="790"/>
      <c r="E219" s="793">
        <f>heating!E130</f>
        <v>0</v>
      </c>
      <c r="F219" s="793"/>
      <c r="G219" s="129">
        <f aca="true" t="shared" si="0" ref="G219:G228">"-"</f>
        <v>0</v>
      </c>
      <c r="H219" s="129"/>
      <c r="I219" s="792">
        <f>heating!I130</f>
        <v>0</v>
      </c>
      <c r="J219" s="792"/>
      <c r="K219" s="792"/>
      <c r="L219" s="792"/>
      <c r="M219" s="792"/>
      <c r="N219" s="792"/>
      <c r="O219" s="792"/>
      <c r="P219" s="791">
        <f>heating!M130</f>
        <v>0</v>
      </c>
      <c r="Q219" s="791"/>
      <c r="R219" s="806">
        <f>heating!O130</f>
        <v>0</v>
      </c>
      <c r="S219" s="806"/>
      <c r="T219" s="795">
        <f>heating!Q130</f>
        <v>0</v>
      </c>
      <c r="U219" s="795"/>
      <c r="V219" s="830"/>
    </row>
    <row r="220" spans="1:22" ht="18" customHeight="1" hidden="1">
      <c r="A220" s="41"/>
      <c r="B220" s="790">
        <f>heating!B131</f>
        <v>0</v>
      </c>
      <c r="C220" s="790"/>
      <c r="D220" s="790"/>
      <c r="E220" s="793">
        <f>heating!E131</f>
        <v>0</v>
      </c>
      <c r="F220" s="793"/>
      <c r="G220" s="129">
        <f t="shared" si="0"/>
        <v>0</v>
      </c>
      <c r="H220" s="129"/>
      <c r="I220" s="792">
        <f>heating!I131</f>
        <v>0</v>
      </c>
      <c r="J220" s="792"/>
      <c r="K220" s="792"/>
      <c r="L220" s="792"/>
      <c r="M220" s="792"/>
      <c r="N220" s="792"/>
      <c r="O220" s="792"/>
      <c r="P220" s="791">
        <f>heating!M131</f>
        <v>0</v>
      </c>
      <c r="Q220" s="791"/>
      <c r="R220" s="806">
        <f>heating!O131</f>
        <v>0</v>
      </c>
      <c r="S220" s="806"/>
      <c r="T220" s="795">
        <f>heating!Q131</f>
        <v>0</v>
      </c>
      <c r="U220" s="795"/>
      <c r="V220" s="830"/>
    </row>
    <row r="221" spans="1:22" ht="18" customHeight="1" hidden="1">
      <c r="A221" s="41"/>
      <c r="B221" s="790">
        <f>heating!B132</f>
        <v>0</v>
      </c>
      <c r="C221" s="790"/>
      <c r="D221" s="790"/>
      <c r="E221" s="793">
        <f>heating!E132</f>
        <v>0</v>
      </c>
      <c r="F221" s="793"/>
      <c r="G221" s="129">
        <f t="shared" si="0"/>
        <v>0</v>
      </c>
      <c r="H221" s="129"/>
      <c r="I221" s="792">
        <f>heating!I132</f>
        <v>0</v>
      </c>
      <c r="J221" s="792"/>
      <c r="K221" s="792"/>
      <c r="L221" s="792"/>
      <c r="M221" s="792"/>
      <c r="N221" s="792"/>
      <c r="O221" s="792"/>
      <c r="P221" s="791">
        <f>heating!M132</f>
        <v>0</v>
      </c>
      <c r="Q221" s="791"/>
      <c r="R221" s="806">
        <f>heating!O132</f>
        <v>0</v>
      </c>
      <c r="S221" s="806"/>
      <c r="T221" s="795">
        <f>heating!Q132</f>
        <v>0</v>
      </c>
      <c r="U221" s="795"/>
      <c r="V221" s="830"/>
    </row>
    <row r="222" spans="1:22" ht="18" customHeight="1" hidden="1">
      <c r="A222" s="41"/>
      <c r="B222" s="790">
        <f>heating!B133</f>
        <v>0</v>
      </c>
      <c r="C222" s="790"/>
      <c r="D222" s="790"/>
      <c r="E222" s="793">
        <f>heating!E133</f>
        <v>0</v>
      </c>
      <c r="F222" s="793"/>
      <c r="G222" s="129">
        <f t="shared" si="0"/>
        <v>0</v>
      </c>
      <c r="H222" s="129"/>
      <c r="I222" s="792">
        <f>heating!I133</f>
        <v>0</v>
      </c>
      <c r="J222" s="792"/>
      <c r="K222" s="792"/>
      <c r="L222" s="792"/>
      <c r="M222" s="792"/>
      <c r="N222" s="792"/>
      <c r="O222" s="792"/>
      <c r="P222" s="791">
        <f>heating!M133</f>
        <v>0</v>
      </c>
      <c r="Q222" s="791"/>
      <c r="R222" s="806">
        <f>heating!O133</f>
        <v>0</v>
      </c>
      <c r="S222" s="806"/>
      <c r="T222" s="795">
        <f>heating!Q133</f>
        <v>0</v>
      </c>
      <c r="U222" s="795"/>
      <c r="V222" s="830"/>
    </row>
    <row r="223" spans="1:22" ht="18" customHeight="1" hidden="1">
      <c r="A223" s="41"/>
      <c r="B223" s="790">
        <f>heating!B134</f>
        <v>0</v>
      </c>
      <c r="C223" s="790"/>
      <c r="D223" s="790"/>
      <c r="E223" s="793">
        <f>heating!E134</f>
        <v>0</v>
      </c>
      <c r="F223" s="793"/>
      <c r="G223" s="129">
        <f t="shared" si="0"/>
        <v>0</v>
      </c>
      <c r="H223" s="129"/>
      <c r="I223" s="792">
        <f>heating!I134</f>
        <v>0</v>
      </c>
      <c r="J223" s="792"/>
      <c r="K223" s="792"/>
      <c r="L223" s="792"/>
      <c r="M223" s="792"/>
      <c r="N223" s="792"/>
      <c r="O223" s="792"/>
      <c r="P223" s="791">
        <f>heating!M134</f>
        <v>0</v>
      </c>
      <c r="Q223" s="791"/>
      <c r="R223" s="806">
        <f>heating!O134</f>
        <v>0</v>
      </c>
      <c r="S223" s="806"/>
      <c r="T223" s="795">
        <f>heating!Q134</f>
        <v>0</v>
      </c>
      <c r="U223" s="795"/>
      <c r="V223" s="830"/>
    </row>
    <row r="224" spans="1:22" ht="18" customHeight="1" hidden="1">
      <c r="A224" s="41"/>
      <c r="B224" s="790">
        <f>heating!B135</f>
        <v>0</v>
      </c>
      <c r="C224" s="790"/>
      <c r="D224" s="790"/>
      <c r="E224" s="793">
        <f>heating!E135</f>
        <v>0</v>
      </c>
      <c r="F224" s="793"/>
      <c r="G224" s="129">
        <f t="shared" si="0"/>
        <v>0</v>
      </c>
      <c r="H224" s="129"/>
      <c r="I224" s="792">
        <f>heating!I135</f>
        <v>0</v>
      </c>
      <c r="J224" s="792"/>
      <c r="K224" s="792"/>
      <c r="L224" s="792"/>
      <c r="M224" s="792"/>
      <c r="N224" s="792"/>
      <c r="O224" s="792"/>
      <c r="P224" s="791">
        <f>heating!M135</f>
        <v>0</v>
      </c>
      <c r="Q224" s="791"/>
      <c r="R224" s="806">
        <f>heating!O135</f>
        <v>0</v>
      </c>
      <c r="S224" s="806"/>
      <c r="T224" s="795">
        <f>heating!Q135</f>
        <v>0</v>
      </c>
      <c r="U224" s="795"/>
      <c r="V224" s="830"/>
    </row>
    <row r="225" spans="1:22" ht="18" customHeight="1" hidden="1">
      <c r="A225" s="41"/>
      <c r="B225" s="790">
        <f>heating!B136</f>
        <v>0</v>
      </c>
      <c r="C225" s="790"/>
      <c r="D225" s="790"/>
      <c r="E225" s="793">
        <f>heating!E136</f>
        <v>0</v>
      </c>
      <c r="F225" s="793"/>
      <c r="G225" s="129">
        <f t="shared" si="0"/>
        <v>0</v>
      </c>
      <c r="H225" s="129"/>
      <c r="I225" s="792">
        <f>heating!I136</f>
        <v>0</v>
      </c>
      <c r="J225" s="792"/>
      <c r="K225" s="792"/>
      <c r="L225" s="792"/>
      <c r="M225" s="792"/>
      <c r="N225" s="792"/>
      <c r="O225" s="792"/>
      <c r="P225" s="791">
        <f>heating!M136</f>
        <v>0</v>
      </c>
      <c r="Q225" s="791"/>
      <c r="R225" s="806">
        <f>heating!O136</f>
        <v>0</v>
      </c>
      <c r="S225" s="806"/>
      <c r="T225" s="795">
        <f>heating!Q136</f>
        <v>0</v>
      </c>
      <c r="U225" s="795"/>
      <c r="V225" s="830"/>
    </row>
    <row r="226" spans="1:22" ht="18" customHeight="1" hidden="1">
      <c r="A226" s="41"/>
      <c r="B226" s="790">
        <f>heating!B137</f>
        <v>0</v>
      </c>
      <c r="C226" s="790"/>
      <c r="D226" s="790"/>
      <c r="E226" s="793">
        <f>heating!E137</f>
        <v>0</v>
      </c>
      <c r="F226" s="793"/>
      <c r="G226" s="129">
        <f t="shared" si="0"/>
        <v>0</v>
      </c>
      <c r="H226" s="129"/>
      <c r="I226" s="792">
        <f>heating!I137</f>
        <v>0</v>
      </c>
      <c r="J226" s="792"/>
      <c r="K226" s="792"/>
      <c r="L226" s="792"/>
      <c r="M226" s="792"/>
      <c r="N226" s="792"/>
      <c r="O226" s="792"/>
      <c r="P226" s="791">
        <f>heating!M137</f>
        <v>0</v>
      </c>
      <c r="Q226" s="791"/>
      <c r="R226" s="806">
        <f>heating!O137</f>
        <v>0</v>
      </c>
      <c r="S226" s="806"/>
      <c r="T226" s="795">
        <f>heating!Q137</f>
        <v>0</v>
      </c>
      <c r="U226" s="795"/>
      <c r="V226" s="830"/>
    </row>
    <row r="227" spans="1:22" ht="18" customHeight="1" hidden="1">
      <c r="A227" s="41"/>
      <c r="B227" s="790">
        <f>heating!B138</f>
        <v>0</v>
      </c>
      <c r="C227" s="790"/>
      <c r="D227" s="790"/>
      <c r="E227" s="793">
        <f>heating!E138</f>
        <v>0</v>
      </c>
      <c r="F227" s="793"/>
      <c r="G227" s="129">
        <f t="shared" si="0"/>
        <v>0</v>
      </c>
      <c r="H227" s="129"/>
      <c r="I227" s="792">
        <f>heating!I138</f>
        <v>0</v>
      </c>
      <c r="J227" s="792"/>
      <c r="K227" s="792"/>
      <c r="L227" s="792"/>
      <c r="M227" s="792"/>
      <c r="N227" s="792"/>
      <c r="O227" s="792"/>
      <c r="P227" s="791">
        <f>heating!M138</f>
        <v>0</v>
      </c>
      <c r="Q227" s="791"/>
      <c r="R227" s="806">
        <f>heating!O138</f>
        <v>0</v>
      </c>
      <c r="S227" s="806"/>
      <c r="T227" s="795">
        <f>heating!Q138</f>
        <v>0</v>
      </c>
      <c r="U227" s="795"/>
      <c r="V227" s="830"/>
    </row>
    <row r="228" spans="1:22" ht="18" customHeight="1" hidden="1">
      <c r="A228" s="41"/>
      <c r="B228" s="790">
        <f>heating!B139</f>
        <v>0</v>
      </c>
      <c r="C228" s="790"/>
      <c r="D228" s="790"/>
      <c r="E228" s="793">
        <f>heating!E139</f>
        <v>0</v>
      </c>
      <c r="F228" s="793"/>
      <c r="G228" s="129">
        <f t="shared" si="0"/>
        <v>0</v>
      </c>
      <c r="H228" s="129"/>
      <c r="I228" s="792">
        <f>heating!I139</f>
        <v>0</v>
      </c>
      <c r="J228" s="792"/>
      <c r="K228" s="792"/>
      <c r="L228" s="792"/>
      <c r="M228" s="792"/>
      <c r="N228" s="792"/>
      <c r="O228" s="792"/>
      <c r="P228" s="791">
        <f>heating!M139</f>
        <v>0</v>
      </c>
      <c r="Q228" s="791"/>
      <c r="R228" s="806">
        <f>heating!O139</f>
        <v>0</v>
      </c>
      <c r="S228" s="806"/>
      <c r="T228" s="795">
        <f>heating!Q139</f>
        <v>0</v>
      </c>
      <c r="U228" s="795"/>
      <c r="V228" s="830"/>
    </row>
    <row r="229" spans="1:22" ht="18" customHeight="1" hidden="1">
      <c r="A229" s="41"/>
      <c r="B229" s="831">
        <f>heating!B147</f>
        <v>0</v>
      </c>
      <c r="C229" s="831"/>
      <c r="D229" s="831"/>
      <c r="E229" s="793">
        <f>heating!E147</f>
        <v>0</v>
      </c>
      <c r="F229" s="793"/>
      <c r="G229" s="793"/>
      <c r="H229" s="793"/>
      <c r="I229" s="791">
        <f>heating!H147</f>
        <v>0</v>
      </c>
      <c r="J229" s="792">
        <f>heating!I147</f>
        <v>0</v>
      </c>
      <c r="K229" s="792"/>
      <c r="L229" s="792"/>
      <c r="M229" s="792"/>
      <c r="N229" s="792"/>
      <c r="O229" s="792"/>
      <c r="P229" s="131">
        <f>"-"</f>
        <v>0</v>
      </c>
      <c r="Q229" s="131"/>
      <c r="R229" s="131"/>
      <c r="S229" s="131"/>
      <c r="T229" s="795">
        <f>heating!Q147</f>
        <v>0</v>
      </c>
      <c r="U229" s="795"/>
      <c r="V229" s="830"/>
    </row>
    <row r="230" spans="1:22" ht="18" customHeight="1">
      <c r="A230" s="41"/>
      <c r="B230" s="797" t="s">
        <v>268</v>
      </c>
      <c r="C230" s="797"/>
      <c r="D230" s="797"/>
      <c r="E230" s="797"/>
      <c r="F230" s="797"/>
      <c r="G230" s="797"/>
      <c r="H230" s="797"/>
      <c r="I230" s="797"/>
      <c r="J230" s="797"/>
      <c r="K230" s="797"/>
      <c r="L230" s="797"/>
      <c r="M230" s="797"/>
      <c r="N230" s="797"/>
      <c r="O230" s="797"/>
      <c r="P230" s="822">
        <f>SUM(P203:Q228)</f>
        <v>0</v>
      </c>
      <c r="Q230" s="822"/>
      <c r="R230" s="800">
        <f>SUM(R204:S228)</f>
        <v>0</v>
      </c>
      <c r="S230" s="800"/>
      <c r="T230" s="800">
        <f>SUM(T204:U229)</f>
        <v>0</v>
      </c>
      <c r="U230" s="800"/>
      <c r="V230" s="830"/>
    </row>
    <row r="231" spans="1:22" ht="22.5" customHeight="1" hidden="1">
      <c r="A231" s="41"/>
      <c r="B231" s="815">
        <f>B156</f>
        <v>0</v>
      </c>
      <c r="C231" s="809"/>
      <c r="D231" s="809"/>
      <c r="E231" s="759"/>
      <c r="F231" s="803"/>
      <c r="G231" s="803"/>
      <c r="H231" s="803"/>
      <c r="I231" s="803"/>
      <c r="J231" s="803"/>
      <c r="K231" s="803"/>
      <c r="L231" s="832"/>
      <c r="M231" s="832"/>
      <c r="N231" s="833"/>
      <c r="O231" s="178"/>
      <c r="P231" s="834"/>
      <c r="Q231" s="834"/>
      <c r="R231" s="835"/>
      <c r="S231" s="836"/>
      <c r="T231" s="837"/>
      <c r="U231" s="838"/>
      <c r="V231" s="830"/>
    </row>
    <row r="232" spans="1:22" ht="18" customHeight="1" hidden="1">
      <c r="A232" s="41"/>
      <c r="B232" s="802">
        <f>heating!B151</f>
        <v>0</v>
      </c>
      <c r="C232" s="802"/>
      <c r="D232" s="802"/>
      <c r="E232" s="802"/>
      <c r="F232" s="802"/>
      <c r="G232" s="802"/>
      <c r="H232" s="802"/>
      <c r="I232" s="802"/>
      <c r="J232" s="802"/>
      <c r="K232" s="802"/>
      <c r="L232" s="802"/>
      <c r="M232" s="802"/>
      <c r="N232" s="802"/>
      <c r="O232" s="802"/>
      <c r="P232" s="802"/>
      <c r="Q232" s="802"/>
      <c r="R232" s="802"/>
      <c r="S232" s="802"/>
      <c r="T232" s="802"/>
      <c r="U232" s="802"/>
      <c r="V232" s="830"/>
    </row>
    <row r="233" spans="1:22" ht="18" customHeight="1" hidden="1">
      <c r="A233" s="41"/>
      <c r="B233" s="802">
        <f>heating!B152</f>
        <v>0</v>
      </c>
      <c r="C233" s="802"/>
      <c r="D233" s="802"/>
      <c r="E233" s="802"/>
      <c r="F233" s="802"/>
      <c r="G233" s="802"/>
      <c r="H233" s="802"/>
      <c r="I233" s="802"/>
      <c r="J233" s="802"/>
      <c r="K233" s="802"/>
      <c r="L233" s="802"/>
      <c r="M233" s="802"/>
      <c r="N233" s="802"/>
      <c r="O233" s="802"/>
      <c r="P233" s="802"/>
      <c r="Q233" s="802"/>
      <c r="R233" s="802"/>
      <c r="S233" s="802"/>
      <c r="T233" s="802"/>
      <c r="U233" s="802"/>
      <c r="V233" s="830"/>
    </row>
    <row r="234" spans="1:22" ht="62.25" customHeight="1" hidden="1">
      <c r="A234" s="41"/>
      <c r="B234" s="809"/>
      <c r="C234" s="809"/>
      <c r="D234" s="809"/>
      <c r="E234" s="759"/>
      <c r="F234" s="803"/>
      <c r="G234" s="803"/>
      <c r="H234" s="803"/>
      <c r="I234" s="803"/>
      <c r="J234" s="803"/>
      <c r="K234" s="803"/>
      <c r="L234" s="832"/>
      <c r="M234" s="832"/>
      <c r="N234" s="833"/>
      <c r="O234" s="178"/>
      <c r="P234" s="834"/>
      <c r="Q234" s="834"/>
      <c r="R234" s="835"/>
      <c r="S234" s="836"/>
      <c r="T234" s="837"/>
      <c r="U234" s="838"/>
      <c r="V234" s="830"/>
    </row>
    <row r="235" spans="1:22" ht="25.5" customHeight="1" hidden="1">
      <c r="A235" s="41"/>
      <c r="B235" s="785" t="s">
        <v>701</v>
      </c>
      <c r="C235" s="809"/>
      <c r="D235" s="809"/>
      <c r="E235" s="759"/>
      <c r="F235" s="803"/>
      <c r="G235" s="803"/>
      <c r="H235" s="803"/>
      <c r="I235" s="803"/>
      <c r="J235" s="803"/>
      <c r="K235" s="803"/>
      <c r="L235" s="832"/>
      <c r="M235" s="832"/>
      <c r="N235" s="833"/>
      <c r="O235" s="178"/>
      <c r="P235" s="834"/>
      <c r="Q235" s="834"/>
      <c r="R235" s="835"/>
      <c r="S235" s="836"/>
      <c r="T235" s="837"/>
      <c r="U235" s="838"/>
      <c r="V235" s="830"/>
    </row>
    <row r="236" spans="1:22" ht="18" customHeight="1" hidden="1">
      <c r="A236" s="41"/>
      <c r="B236" s="787" t="s">
        <v>256</v>
      </c>
      <c r="C236" s="787"/>
      <c r="D236" s="787"/>
      <c r="E236" s="839" t="s">
        <v>484</v>
      </c>
      <c r="F236" s="839"/>
      <c r="G236" s="839"/>
      <c r="H236" s="839"/>
      <c r="I236" s="839" t="s">
        <v>485</v>
      </c>
      <c r="J236" s="840" t="s">
        <v>686</v>
      </c>
      <c r="K236" s="840"/>
      <c r="L236" s="840"/>
      <c r="M236" s="840"/>
      <c r="N236" s="840"/>
      <c r="O236" s="840"/>
      <c r="P236" s="788" t="s">
        <v>687</v>
      </c>
      <c r="Q236" s="788"/>
      <c r="R236" s="788"/>
      <c r="S236" s="788"/>
      <c r="T236" s="788" t="s">
        <v>280</v>
      </c>
      <c r="U236" s="788"/>
      <c r="V236" s="830"/>
    </row>
    <row r="237" spans="1:22" ht="18" customHeight="1" hidden="1">
      <c r="A237" s="41"/>
      <c r="B237" s="787"/>
      <c r="C237" s="787"/>
      <c r="D237" s="787"/>
      <c r="E237" s="839"/>
      <c r="F237" s="839"/>
      <c r="G237" s="839"/>
      <c r="H237" s="839"/>
      <c r="I237" s="839"/>
      <c r="J237" s="840"/>
      <c r="K237" s="840"/>
      <c r="L237" s="840"/>
      <c r="M237" s="840"/>
      <c r="N237" s="840"/>
      <c r="O237" s="840"/>
      <c r="P237" s="129" t="s">
        <v>693</v>
      </c>
      <c r="Q237" s="129"/>
      <c r="R237" s="129" t="s">
        <v>660</v>
      </c>
      <c r="S237" s="129"/>
      <c r="T237" s="788"/>
      <c r="U237" s="788"/>
      <c r="V237" s="830"/>
    </row>
    <row r="238" spans="1:22" ht="18" customHeight="1" hidden="1">
      <c r="A238" s="41"/>
      <c r="B238" s="790">
        <f>heating!B165</f>
        <v>0</v>
      </c>
      <c r="C238" s="790"/>
      <c r="D238" s="790"/>
      <c r="E238" s="791">
        <f>heating!E165</f>
        <v>0</v>
      </c>
      <c r="F238" s="791"/>
      <c r="G238" s="791"/>
      <c r="H238" s="791"/>
      <c r="I238" s="841">
        <f>heating!H165</f>
        <v>0</v>
      </c>
      <c r="J238" s="792">
        <f>heating!I165</f>
        <v>0</v>
      </c>
      <c r="K238" s="792"/>
      <c r="L238" s="792"/>
      <c r="M238" s="792"/>
      <c r="N238" s="792"/>
      <c r="O238" s="792"/>
      <c r="P238" s="131" t="s">
        <v>488</v>
      </c>
      <c r="Q238" s="131"/>
      <c r="R238" s="131"/>
      <c r="S238" s="131"/>
      <c r="T238" s="795">
        <f>heating!Q165</f>
        <v>0</v>
      </c>
      <c r="U238" s="795"/>
      <c r="V238" s="830"/>
    </row>
    <row r="239" spans="1:22" ht="18" customHeight="1" hidden="1">
      <c r="A239" s="41"/>
      <c r="B239" s="790">
        <f>heating!B166</f>
        <v>0</v>
      </c>
      <c r="C239" s="790"/>
      <c r="D239" s="790"/>
      <c r="E239" s="791">
        <f>heating!E166</f>
        <v>0</v>
      </c>
      <c r="F239" s="791"/>
      <c r="G239" s="791"/>
      <c r="H239" s="791"/>
      <c r="I239" s="841">
        <f>heating!H166</f>
        <v>0</v>
      </c>
      <c r="J239" s="792">
        <f>heating!I166</f>
        <v>0</v>
      </c>
      <c r="K239" s="792"/>
      <c r="L239" s="792"/>
      <c r="M239" s="792"/>
      <c r="N239" s="792"/>
      <c r="O239" s="792"/>
      <c r="P239" s="131" t="s">
        <v>488</v>
      </c>
      <c r="Q239" s="131"/>
      <c r="R239" s="131"/>
      <c r="S239" s="131"/>
      <c r="T239" s="795">
        <f>heating!Q166</f>
        <v>0</v>
      </c>
      <c r="U239" s="795"/>
      <c r="V239" s="830"/>
    </row>
    <row r="240" spans="1:22" ht="19.5" customHeight="1" hidden="1">
      <c r="A240" s="41"/>
      <c r="B240" s="815">
        <f>B231</f>
        <v>0</v>
      </c>
      <c r="C240" s="809"/>
      <c r="D240" s="809"/>
      <c r="E240" s="759"/>
      <c r="F240" s="803"/>
      <c r="G240" s="803"/>
      <c r="H240" s="803"/>
      <c r="I240" s="803"/>
      <c r="J240" s="803"/>
      <c r="K240" s="803"/>
      <c r="L240" s="832"/>
      <c r="M240" s="832"/>
      <c r="N240" s="833"/>
      <c r="O240" s="178"/>
      <c r="P240" s="834"/>
      <c r="Q240" s="834"/>
      <c r="R240" s="835"/>
      <c r="S240" s="836"/>
      <c r="T240" s="837"/>
      <c r="U240" s="838"/>
      <c r="V240" s="830"/>
    </row>
    <row r="241" spans="1:22" ht="18" customHeight="1" hidden="1">
      <c r="A241" s="41"/>
      <c r="B241" s="802">
        <f>heating!B170</f>
        <v>0</v>
      </c>
      <c r="C241" s="802"/>
      <c r="D241" s="802"/>
      <c r="E241" s="802"/>
      <c r="F241" s="802"/>
      <c r="G241" s="802"/>
      <c r="H241" s="802"/>
      <c r="I241" s="802"/>
      <c r="J241" s="802"/>
      <c r="K241" s="802"/>
      <c r="L241" s="802"/>
      <c r="M241" s="802"/>
      <c r="N241" s="802"/>
      <c r="O241" s="802"/>
      <c r="P241" s="802"/>
      <c r="Q241" s="802"/>
      <c r="R241" s="802"/>
      <c r="S241" s="802"/>
      <c r="T241" s="802"/>
      <c r="U241" s="802"/>
      <c r="V241" s="830"/>
    </row>
    <row r="242" spans="1:22" ht="18" customHeight="1" hidden="1">
      <c r="A242" s="41"/>
      <c r="B242" s="802">
        <f>heating!B171</f>
        <v>0</v>
      </c>
      <c r="C242" s="802"/>
      <c r="D242" s="802"/>
      <c r="E242" s="802"/>
      <c r="F242" s="802"/>
      <c r="G242" s="802"/>
      <c r="H242" s="802"/>
      <c r="I242" s="802"/>
      <c r="J242" s="802"/>
      <c r="K242" s="802"/>
      <c r="L242" s="802"/>
      <c r="M242" s="802"/>
      <c r="N242" s="802"/>
      <c r="O242" s="802"/>
      <c r="P242" s="802"/>
      <c r="Q242" s="802"/>
      <c r="R242" s="802"/>
      <c r="S242" s="802"/>
      <c r="T242" s="802"/>
      <c r="U242" s="802"/>
      <c r="V242" s="830"/>
    </row>
    <row r="243" spans="1:22" ht="18" customHeight="1" hidden="1">
      <c r="A243" s="41"/>
      <c r="B243" s="809"/>
      <c r="C243" s="809"/>
      <c r="D243" s="809"/>
      <c r="E243" s="809"/>
      <c r="F243" s="809"/>
      <c r="G243" s="809"/>
      <c r="H243" s="809"/>
      <c r="I243" s="809"/>
      <c r="J243" s="809"/>
      <c r="K243" s="809"/>
      <c r="L243" s="809"/>
      <c r="M243" s="809"/>
      <c r="N243" s="809"/>
      <c r="O243" s="809"/>
      <c r="P243" s="809"/>
      <c r="Q243" s="809"/>
      <c r="R243" s="809"/>
      <c r="S243" s="809"/>
      <c r="T243" s="809"/>
      <c r="U243" s="809"/>
      <c r="V243" s="830"/>
    </row>
    <row r="244" spans="1:22" ht="18" customHeight="1" hidden="1">
      <c r="A244" s="41"/>
      <c r="B244" s="842" t="s">
        <v>702</v>
      </c>
      <c r="C244" s="809"/>
      <c r="D244" s="809"/>
      <c r="E244" s="809"/>
      <c r="F244" s="809"/>
      <c r="G244" s="809"/>
      <c r="H244" s="809"/>
      <c r="I244" s="809"/>
      <c r="J244" s="809"/>
      <c r="K244" s="809"/>
      <c r="L244" s="809"/>
      <c r="M244" s="809"/>
      <c r="N244" s="809"/>
      <c r="O244" s="809"/>
      <c r="P244" s="809"/>
      <c r="Q244" s="809"/>
      <c r="R244" s="809"/>
      <c r="S244" s="809"/>
      <c r="T244" s="809"/>
      <c r="U244" s="809"/>
      <c r="V244" s="830"/>
    </row>
    <row r="245" spans="1:22" ht="18" customHeight="1" hidden="1">
      <c r="A245" s="41"/>
      <c r="B245" s="809"/>
      <c r="C245" s="809"/>
      <c r="D245" s="809"/>
      <c r="E245" s="809"/>
      <c r="F245" s="809"/>
      <c r="G245" s="809"/>
      <c r="H245" s="809"/>
      <c r="I245" s="809"/>
      <c r="J245" s="809"/>
      <c r="K245" s="809"/>
      <c r="L245" s="809"/>
      <c r="M245" s="809"/>
      <c r="N245" s="809"/>
      <c r="O245" s="809"/>
      <c r="P245" s="809"/>
      <c r="Q245" s="809"/>
      <c r="R245" s="809"/>
      <c r="S245" s="809"/>
      <c r="T245" s="809"/>
      <c r="U245" s="809"/>
      <c r="V245" s="830"/>
    </row>
    <row r="246" spans="1:22" ht="21" customHeight="1" hidden="1">
      <c r="A246" s="41"/>
      <c r="B246" s="785" t="s">
        <v>703</v>
      </c>
      <c r="C246" s="803"/>
      <c r="D246" s="803"/>
      <c r="E246" s="803"/>
      <c r="F246" s="803"/>
      <c r="G246" s="803"/>
      <c r="H246" s="803"/>
      <c r="I246" s="803"/>
      <c r="J246" s="803"/>
      <c r="K246" s="803"/>
      <c r="L246" s="803"/>
      <c r="M246" s="803"/>
      <c r="N246" s="803"/>
      <c r="O246" s="803"/>
      <c r="P246" s="803"/>
      <c r="Q246" s="803"/>
      <c r="R246" s="803"/>
      <c r="S246"/>
      <c r="T246"/>
      <c r="U246"/>
      <c r="V246" s="830"/>
    </row>
    <row r="247" spans="1:22" ht="18" customHeight="1" hidden="1">
      <c r="A247" s="41"/>
      <c r="B247" s="787" t="s">
        <v>704</v>
      </c>
      <c r="C247" s="787"/>
      <c r="D247" s="787"/>
      <c r="E247" s="787"/>
      <c r="F247" s="787"/>
      <c r="G247" s="787"/>
      <c r="H247" s="787"/>
      <c r="I247" s="787"/>
      <c r="J247" s="788" t="s">
        <v>705</v>
      </c>
      <c r="K247" s="788"/>
      <c r="L247" s="788" t="s">
        <v>706</v>
      </c>
      <c r="M247" s="788"/>
      <c r="N247" s="788"/>
      <c r="O247" s="788"/>
      <c r="P247" s="788" t="s">
        <v>687</v>
      </c>
      <c r="Q247" s="788"/>
      <c r="R247" s="788"/>
      <c r="S247" s="788"/>
      <c r="T247" s="788" t="s">
        <v>707</v>
      </c>
      <c r="U247" s="788"/>
      <c r="V247" s="830"/>
    </row>
    <row r="248" spans="1:22" ht="18" customHeight="1" hidden="1">
      <c r="A248" s="41"/>
      <c r="B248" s="787"/>
      <c r="C248" s="787"/>
      <c r="D248" s="787"/>
      <c r="E248" s="787"/>
      <c r="F248" s="787"/>
      <c r="G248" s="787"/>
      <c r="H248" s="787"/>
      <c r="I248" s="787"/>
      <c r="J248" s="788"/>
      <c r="K248" s="788"/>
      <c r="L248" s="129" t="s">
        <v>147</v>
      </c>
      <c r="M248" s="129"/>
      <c r="N248" s="129" t="s">
        <v>660</v>
      </c>
      <c r="O248" s="129"/>
      <c r="P248" s="129" t="s">
        <v>147</v>
      </c>
      <c r="Q248" s="129"/>
      <c r="R248" s="129" t="s">
        <v>660</v>
      </c>
      <c r="S248" s="129"/>
      <c r="T248" s="788"/>
      <c r="U248" s="788"/>
      <c r="V248" s="830"/>
    </row>
    <row r="249" spans="1:22" ht="18" customHeight="1" hidden="1">
      <c r="A249" s="41"/>
      <c r="B249" s="843" t="e">
        <f>#REF!</f>
        <v>#REF!</v>
      </c>
      <c r="C249" s="843"/>
      <c r="D249" s="843"/>
      <c r="E249" s="843"/>
      <c r="F249" s="843"/>
      <c r="G249" s="843"/>
      <c r="H249" s="843"/>
      <c r="I249" s="843"/>
      <c r="J249" s="844" t="e">
        <f>#REF!</f>
        <v>#REF!</v>
      </c>
      <c r="K249" s="844"/>
      <c r="L249" s="791" t="e">
        <f>#REF!</f>
        <v>#REF!</v>
      </c>
      <c r="M249" s="791"/>
      <c r="N249" s="845" t="e">
        <f>L249*'household+building'!F$38</f>
        <v>#REF!</v>
      </c>
      <c r="O249" s="845"/>
      <c r="P249" s="846" t="e">
        <f>#REF!</f>
        <v>#REF!</v>
      </c>
      <c r="Q249" s="846"/>
      <c r="R249" s="806" t="e">
        <f>#REF!</f>
        <v>#REF!</v>
      </c>
      <c r="S249" s="806"/>
      <c r="T249" s="847" t="e">
        <f>#REF!</f>
        <v>#REF!</v>
      </c>
      <c r="U249" s="847"/>
      <c r="V249" s="830"/>
    </row>
    <row r="250" spans="1:22" ht="18" customHeight="1" hidden="1">
      <c r="A250" s="41"/>
      <c r="B250" s="848" t="s">
        <v>708</v>
      </c>
      <c r="C250" s="848"/>
      <c r="D250" s="848"/>
      <c r="E250" s="848"/>
      <c r="F250" s="848"/>
      <c r="G250" s="848"/>
      <c r="H250" s="848"/>
      <c r="I250" s="848"/>
      <c r="J250" s="848"/>
      <c r="K250" s="848"/>
      <c r="L250" s="848"/>
      <c r="M250" s="848"/>
      <c r="N250" s="848"/>
      <c r="O250" s="848"/>
      <c r="P250" s="848"/>
      <c r="Q250" s="848"/>
      <c r="R250" s="848"/>
      <c r="S250" s="848"/>
      <c r="T250" s="847" t="e">
        <f>#REF!</f>
        <v>#REF!</v>
      </c>
      <c r="U250" s="847"/>
      <c r="V250" s="830"/>
    </row>
    <row r="251" spans="1:22" ht="18" customHeight="1" hidden="1">
      <c r="A251" s="41"/>
      <c r="B251" s="849" t="s">
        <v>709</v>
      </c>
      <c r="C251" s="849"/>
      <c r="D251" s="849"/>
      <c r="E251" s="849"/>
      <c r="F251" s="849"/>
      <c r="G251" s="849"/>
      <c r="H251" s="849"/>
      <c r="I251" s="849"/>
      <c r="J251" s="849"/>
      <c r="K251" s="849"/>
      <c r="L251" s="849"/>
      <c r="M251" s="849"/>
      <c r="N251" s="849"/>
      <c r="O251" s="849"/>
      <c r="P251" s="849"/>
      <c r="Q251" s="849"/>
      <c r="R251" s="849"/>
      <c r="S251" s="849"/>
      <c r="T251" s="795" t="e">
        <f>#REF!</f>
        <v>#REF!</v>
      </c>
      <c r="U251" s="795"/>
      <c r="V251" s="830"/>
    </row>
    <row r="252" spans="1:22" ht="18" customHeight="1" hidden="1">
      <c r="A252" s="41"/>
      <c r="B252" s="831" t="e">
        <f>#REF!</f>
        <v>#REF!</v>
      </c>
      <c r="C252" s="831"/>
      <c r="D252" s="831"/>
      <c r="E252" s="831">
        <f>'water savings'!H84</f>
        <v>0</v>
      </c>
      <c r="F252" s="831"/>
      <c r="G252" s="831"/>
      <c r="H252" s="831"/>
      <c r="I252" s="831"/>
      <c r="J252" s="844" t="e">
        <f>#REF!</f>
        <v>#REF!</v>
      </c>
      <c r="K252" s="844"/>
      <c r="L252" s="791" t="e">
        <f>#REF!</f>
        <v>#REF!</v>
      </c>
      <c r="M252" s="791"/>
      <c r="N252" s="845" t="e">
        <f>L252*'household+building'!F$38</f>
        <v>#REF!</v>
      </c>
      <c r="O252" s="845"/>
      <c r="P252" s="846" t="e">
        <f>#REF!</f>
        <v>#REF!</v>
      </c>
      <c r="Q252" s="846"/>
      <c r="R252" s="850" t="e">
        <f>#REF!</f>
        <v>#REF!</v>
      </c>
      <c r="S252" s="850"/>
      <c r="T252" s="847" t="e">
        <f>#REF!</f>
        <v>#REF!</v>
      </c>
      <c r="U252" s="847"/>
      <c r="V252" s="830"/>
    </row>
    <row r="253" spans="1:22" ht="18" customHeight="1" hidden="1">
      <c r="A253" s="41"/>
      <c r="B253" s="848" t="s">
        <v>708</v>
      </c>
      <c r="C253" s="848"/>
      <c r="D253" s="848"/>
      <c r="E253" s="848"/>
      <c r="F253" s="848"/>
      <c r="G253" s="848"/>
      <c r="H253" s="848"/>
      <c r="I253" s="848"/>
      <c r="J253" s="848"/>
      <c r="K253" s="848"/>
      <c r="L253" s="848"/>
      <c r="M253" s="848"/>
      <c r="N253" s="848"/>
      <c r="O253" s="848"/>
      <c r="P253" s="848"/>
      <c r="Q253" s="848"/>
      <c r="R253" s="848"/>
      <c r="S253" s="848"/>
      <c r="T253" s="847" t="e">
        <f>#REF!</f>
        <v>#REF!</v>
      </c>
      <c r="U253" s="847"/>
      <c r="V253" s="830"/>
    </row>
    <row r="254" spans="1:22" ht="18" customHeight="1" hidden="1">
      <c r="A254" s="41"/>
      <c r="B254" s="851" t="s">
        <v>709</v>
      </c>
      <c r="C254" s="851"/>
      <c r="D254" s="851"/>
      <c r="E254" s="851"/>
      <c r="F254" s="851"/>
      <c r="G254" s="851"/>
      <c r="H254" s="851"/>
      <c r="I254" s="851"/>
      <c r="J254" s="851"/>
      <c r="K254" s="851"/>
      <c r="L254" s="851"/>
      <c r="M254" s="851"/>
      <c r="N254" s="851"/>
      <c r="O254" s="851"/>
      <c r="P254" s="851"/>
      <c r="Q254" s="851"/>
      <c r="R254" s="851"/>
      <c r="S254" s="851"/>
      <c r="T254" s="795" t="e">
        <f>#REF!</f>
        <v>#REF!</v>
      </c>
      <c r="U254" s="795"/>
      <c r="V254" s="830"/>
    </row>
    <row r="255" spans="1:22" ht="6.75" customHeight="1" hidden="1">
      <c r="A255" s="41"/>
      <c r="B255" s="851"/>
      <c r="C255" s="851"/>
      <c r="D255" s="851"/>
      <c r="E255" s="851"/>
      <c r="F255" s="851"/>
      <c r="G255" s="851"/>
      <c r="H255" s="851"/>
      <c r="I255" s="851"/>
      <c r="J255" s="851"/>
      <c r="K255" s="851"/>
      <c r="L255" s="851"/>
      <c r="M255" s="851"/>
      <c r="N255" s="851"/>
      <c r="O255" s="851"/>
      <c r="P255" s="851"/>
      <c r="Q255" s="851"/>
      <c r="R255" s="851"/>
      <c r="S255" s="851"/>
      <c r="T255" s="837"/>
      <c r="U255" s="178"/>
      <c r="V255" s="830"/>
    </row>
    <row r="256" spans="1:22" ht="18" customHeight="1" hidden="1">
      <c r="A256" s="41"/>
      <c r="B256" s="851"/>
      <c r="C256" s="851"/>
      <c r="D256" s="851"/>
      <c r="E256" s="851"/>
      <c r="F256" s="851"/>
      <c r="G256" s="851"/>
      <c r="H256" s="851"/>
      <c r="I256" s="851"/>
      <c r="J256" s="851"/>
      <c r="K256" s="851"/>
      <c r="L256" s="851"/>
      <c r="M256" s="852" t="s">
        <v>710</v>
      </c>
      <c r="N256" s="853" t="e">
        <f>IF(#REF!=#REF!,1,0)+IF(#REF!=#REF!,1,0)</f>
        <v>#REF!</v>
      </c>
      <c r="O256" s="854" t="s">
        <v>711</v>
      </c>
      <c r="P256" s="854"/>
      <c r="Q256" s="854"/>
      <c r="R256" s="854"/>
      <c r="S256" s="854"/>
      <c r="T256" s="855" t="e">
        <f>#REF!+#REF!</f>
        <v>#REF!</v>
      </c>
      <c r="U256" s="855"/>
      <c r="V256" s="830"/>
    </row>
    <row r="257" spans="1:22" ht="18" customHeight="1" hidden="1">
      <c r="A257" s="41"/>
      <c r="B257" s="815">
        <f>B240</f>
        <v>0</v>
      </c>
      <c r="C257" s="809"/>
      <c r="D257" s="809"/>
      <c r="E257" s="759"/>
      <c r="F257" s="803"/>
      <c r="G257" s="803"/>
      <c r="H257" s="803"/>
      <c r="I257" s="803"/>
      <c r="J257" s="803"/>
      <c r="K257" s="803"/>
      <c r="L257" s="832"/>
      <c r="M257" s="832"/>
      <c r="N257" s="833"/>
      <c r="O257" s="178"/>
      <c r="P257" s="834"/>
      <c r="Q257" s="834"/>
      <c r="R257" s="835"/>
      <c r="S257" s="836"/>
      <c r="T257" s="837"/>
      <c r="U257" s="838"/>
      <c r="V257" s="830"/>
    </row>
    <row r="258" spans="1:22" ht="18" customHeight="1" hidden="1">
      <c r="A258" s="41"/>
      <c r="B258" s="802" t="e">
        <f>#REF!</f>
        <v>#REF!</v>
      </c>
      <c r="C258" s="802"/>
      <c r="D258" s="802"/>
      <c r="E258" s="802"/>
      <c r="F258" s="802"/>
      <c r="G258" s="802"/>
      <c r="H258" s="802"/>
      <c r="I258" s="802"/>
      <c r="J258" s="802"/>
      <c r="K258" s="802"/>
      <c r="L258" s="802"/>
      <c r="M258" s="802"/>
      <c r="N258" s="802"/>
      <c r="O258" s="802"/>
      <c r="P258" s="802"/>
      <c r="Q258" s="802"/>
      <c r="R258" s="802"/>
      <c r="S258" s="802"/>
      <c r="T258" s="802"/>
      <c r="U258" s="802"/>
      <c r="V258" s="830"/>
    </row>
    <row r="259" spans="1:22" ht="18" customHeight="1" hidden="1">
      <c r="A259" s="41"/>
      <c r="B259" s="802" t="e">
        <f>#REF!</f>
        <v>#REF!</v>
      </c>
      <c r="C259" s="802"/>
      <c r="D259" s="802"/>
      <c r="E259" s="802"/>
      <c r="F259" s="802"/>
      <c r="G259" s="802"/>
      <c r="H259" s="802"/>
      <c r="I259" s="802"/>
      <c r="J259" s="802"/>
      <c r="K259" s="802"/>
      <c r="L259" s="802"/>
      <c r="M259" s="802"/>
      <c r="N259" s="802"/>
      <c r="O259" s="802"/>
      <c r="P259" s="802"/>
      <c r="Q259" s="802"/>
      <c r="R259" s="802"/>
      <c r="S259" s="802"/>
      <c r="T259" s="802"/>
      <c r="U259" s="802"/>
      <c r="V259" s="830"/>
    </row>
    <row r="260" spans="1:22" ht="12" customHeight="1" hidden="1">
      <c r="A260" s="41"/>
      <c r="B260" s="809"/>
      <c r="C260" s="809"/>
      <c r="D260" s="809"/>
      <c r="E260" s="809"/>
      <c r="F260" s="809"/>
      <c r="G260" s="809"/>
      <c r="H260" s="809"/>
      <c r="I260" s="809"/>
      <c r="J260" s="809"/>
      <c r="K260" s="809"/>
      <c r="L260" s="809"/>
      <c r="M260" s="809"/>
      <c r="N260" s="809"/>
      <c r="O260" s="809"/>
      <c r="P260" s="809"/>
      <c r="Q260" s="809"/>
      <c r="R260" s="809"/>
      <c r="S260" s="809"/>
      <c r="T260" s="809"/>
      <c r="U260" s="809"/>
      <c r="V260" s="830"/>
    </row>
    <row r="261" spans="1:22" ht="20.25" customHeight="1" hidden="1">
      <c r="A261" s="41"/>
      <c r="B261" s="785" t="s">
        <v>712</v>
      </c>
      <c r="C261" s="809"/>
      <c r="D261" s="809"/>
      <c r="E261" s="809"/>
      <c r="F261" s="809"/>
      <c r="G261" s="809"/>
      <c r="H261" s="809"/>
      <c r="I261" s="809"/>
      <c r="J261" s="809"/>
      <c r="K261" s="809"/>
      <c r="L261" s="809"/>
      <c r="M261" s="809"/>
      <c r="N261" s="809"/>
      <c r="O261" s="809"/>
      <c r="P261" s="809"/>
      <c r="Q261" s="809"/>
      <c r="R261" s="809"/>
      <c r="S261" s="809"/>
      <c r="T261" s="809"/>
      <c r="U261" s="809"/>
      <c r="V261" s="830"/>
    </row>
    <row r="262" spans="1:22" ht="18" customHeight="1" hidden="1">
      <c r="A262" s="41"/>
      <c r="B262" s="787" t="s">
        <v>704</v>
      </c>
      <c r="C262" s="787"/>
      <c r="D262" s="787"/>
      <c r="E262" s="787"/>
      <c r="F262" s="787"/>
      <c r="G262" s="788" t="s">
        <v>705</v>
      </c>
      <c r="H262" s="788" t="s">
        <v>706</v>
      </c>
      <c r="I262" s="788"/>
      <c r="J262" s="788"/>
      <c r="K262" s="788"/>
      <c r="L262" s="788"/>
      <c r="M262" s="788"/>
      <c r="N262" s="788" t="s">
        <v>687</v>
      </c>
      <c r="O262" s="788"/>
      <c r="P262" s="788"/>
      <c r="Q262" s="788"/>
      <c r="R262" s="788"/>
      <c r="S262" s="788"/>
      <c r="T262" s="788" t="s">
        <v>707</v>
      </c>
      <c r="U262" s="788"/>
      <c r="V262" s="830"/>
    </row>
    <row r="263" spans="1:22" ht="18" customHeight="1" hidden="1">
      <c r="A263" s="41"/>
      <c r="B263" s="787"/>
      <c r="C263" s="787"/>
      <c r="D263" s="787"/>
      <c r="E263" s="787"/>
      <c r="F263" s="787"/>
      <c r="G263" s="788"/>
      <c r="H263" s="856" t="s">
        <v>713</v>
      </c>
      <c r="I263" s="856"/>
      <c r="J263" s="856" t="s">
        <v>714</v>
      </c>
      <c r="K263" s="856"/>
      <c r="L263" s="856" t="s">
        <v>660</v>
      </c>
      <c r="M263" s="856"/>
      <c r="N263" s="856" t="s">
        <v>688</v>
      </c>
      <c r="O263" s="856"/>
      <c r="P263" s="856" t="s">
        <v>692</v>
      </c>
      <c r="Q263" s="856"/>
      <c r="R263" s="856" t="s">
        <v>660</v>
      </c>
      <c r="S263" s="856"/>
      <c r="T263" s="788"/>
      <c r="U263" s="788"/>
      <c r="V263" s="830"/>
    </row>
    <row r="264" spans="1:21" ht="15" customHeight="1" hidden="1">
      <c r="A264" s="5"/>
      <c r="B264" s="857" t="e">
        <f>#REF!</f>
        <v>#REF!</v>
      </c>
      <c r="C264" s="857"/>
      <c r="D264" s="857"/>
      <c r="E264" s="857"/>
      <c r="F264" s="857"/>
      <c r="G264" s="844" t="e">
        <f>#REF!</f>
        <v>#REF!</v>
      </c>
      <c r="H264" s="846" t="e">
        <f>#REF!</f>
        <v>#REF!</v>
      </c>
      <c r="I264" s="846"/>
      <c r="J264" s="858" t="e">
        <f>#REF!</f>
        <v>#REF!</v>
      </c>
      <c r="K264" s="858"/>
      <c r="L264" s="845" t="e">
        <f>#REF!</f>
        <v>#REF!</v>
      </c>
      <c r="M264" s="845"/>
      <c r="N264" s="846" t="e">
        <f>#REF!</f>
        <v>#REF!</v>
      </c>
      <c r="O264" s="846"/>
      <c r="P264" s="858" t="e">
        <f>#REF!</f>
        <v>#REF!</v>
      </c>
      <c r="Q264" s="858"/>
      <c r="R264" s="806" t="e">
        <f>#REF!</f>
        <v>#REF!</v>
      </c>
      <c r="S264" s="806"/>
      <c r="T264" s="847" t="e">
        <f>#REF!</f>
        <v>#REF!</v>
      </c>
      <c r="U264" s="847"/>
    </row>
    <row r="265" spans="1:21" ht="15" customHeight="1" hidden="1">
      <c r="A265" s="5"/>
      <c r="B265" s="848" t="s">
        <v>708</v>
      </c>
      <c r="C265" s="848"/>
      <c r="D265" s="848"/>
      <c r="E265" s="848"/>
      <c r="F265" s="848"/>
      <c r="G265" s="848"/>
      <c r="H265" s="848"/>
      <c r="I265" s="848"/>
      <c r="J265" s="848"/>
      <c r="K265" s="848"/>
      <c r="L265" s="848"/>
      <c r="M265" s="848"/>
      <c r="N265" s="848"/>
      <c r="O265" s="848"/>
      <c r="P265" s="848"/>
      <c r="Q265" s="848"/>
      <c r="R265" s="848"/>
      <c r="S265" s="848"/>
      <c r="T265" s="847" t="e">
        <f>#REF!</f>
        <v>#REF!</v>
      </c>
      <c r="U265" s="847"/>
    </row>
    <row r="266" spans="1:21" ht="15" customHeight="1" hidden="1">
      <c r="A266" s="5"/>
      <c r="B266" s="851" t="s">
        <v>709</v>
      </c>
      <c r="C266" s="851"/>
      <c r="D266" s="851"/>
      <c r="E266" s="851"/>
      <c r="F266" s="851"/>
      <c r="G266" s="851"/>
      <c r="H266" s="851"/>
      <c r="I266" s="851"/>
      <c r="J266" s="851"/>
      <c r="K266" s="851"/>
      <c r="L266" s="851"/>
      <c r="M266" s="851"/>
      <c r="N266" s="851"/>
      <c r="O266" s="851"/>
      <c r="P266" s="851"/>
      <c r="Q266" s="851"/>
      <c r="R266" s="851"/>
      <c r="S266" s="851"/>
      <c r="T266" s="795" t="e">
        <f>#REF!</f>
        <v>#REF!</v>
      </c>
      <c r="U266" s="795"/>
    </row>
    <row r="267" spans="1:21" ht="15" customHeight="1" hidden="1">
      <c r="A267" s="5"/>
      <c r="B267" s="815">
        <f>B257</f>
        <v>0</v>
      </c>
      <c r="C267" s="809"/>
      <c r="D267" s="809"/>
      <c r="E267" s="759"/>
      <c r="F267" s="803"/>
      <c r="G267" s="803"/>
      <c r="H267" s="803"/>
      <c r="I267" s="803"/>
      <c r="J267" s="803"/>
      <c r="K267" s="803"/>
      <c r="L267" s="832"/>
      <c r="M267" s="832"/>
      <c r="N267" s="833"/>
      <c r="O267" s="178"/>
      <c r="P267" s="834"/>
      <c r="Q267" s="834"/>
      <c r="R267" s="835"/>
      <c r="S267" s="836"/>
      <c r="T267" s="837"/>
      <c r="U267" s="838"/>
    </row>
    <row r="268" spans="1:21" ht="15" customHeight="1" hidden="1">
      <c r="A268" s="5"/>
      <c r="B268" s="802" t="e">
        <f>#REF!</f>
        <v>#REF!</v>
      </c>
      <c r="C268" s="802"/>
      <c r="D268" s="802"/>
      <c r="E268" s="802"/>
      <c r="F268" s="802"/>
      <c r="G268" s="802"/>
      <c r="H268" s="802"/>
      <c r="I268" s="802"/>
      <c r="J268" s="802"/>
      <c r="K268" s="802"/>
      <c r="L268" s="802"/>
      <c r="M268" s="802"/>
      <c r="N268" s="802"/>
      <c r="O268" s="802"/>
      <c r="P268" s="802"/>
      <c r="Q268" s="802"/>
      <c r="R268" s="802"/>
      <c r="S268" s="802"/>
      <c r="T268" s="802"/>
      <c r="U268" s="802"/>
    </row>
    <row r="269" spans="1:21" ht="15" customHeight="1" hidden="1">
      <c r="A269" s="5"/>
      <c r="B269" s="802" t="e">
        <f>#REF!</f>
        <v>#REF!</v>
      </c>
      <c r="C269" s="802"/>
      <c r="D269" s="802"/>
      <c r="E269" s="802"/>
      <c r="F269" s="802"/>
      <c r="G269" s="802"/>
      <c r="H269" s="802"/>
      <c r="I269" s="802"/>
      <c r="J269" s="802"/>
      <c r="K269" s="802"/>
      <c r="L269" s="802"/>
      <c r="M269" s="802"/>
      <c r="N269" s="802"/>
      <c r="O269" s="802"/>
      <c r="P269" s="802"/>
      <c r="Q269" s="802"/>
      <c r="R269" s="802"/>
      <c r="S269" s="802"/>
      <c r="T269" s="802"/>
      <c r="U269" s="802"/>
    </row>
    <row r="270" spans="1:21" ht="9" customHeight="1" hidden="1">
      <c r="A270" s="5"/>
      <c r="B270" s="809"/>
      <c r="C270" s="809"/>
      <c r="D270" s="809"/>
      <c r="E270" s="809"/>
      <c r="F270" s="809"/>
      <c r="G270" s="809"/>
      <c r="H270" s="809"/>
      <c r="I270" s="809"/>
      <c r="J270" s="809"/>
      <c r="K270" s="809"/>
      <c r="L270" s="809"/>
      <c r="M270" s="809"/>
      <c r="N270" s="809"/>
      <c r="O270" s="809"/>
      <c r="P270" s="809"/>
      <c r="Q270" s="809"/>
      <c r="R270" s="809"/>
      <c r="S270" s="809"/>
      <c r="T270" s="809"/>
      <c r="U270" s="809"/>
    </row>
    <row r="271" spans="1:21" ht="19.5" customHeight="1" hidden="1">
      <c r="A271" s="5"/>
      <c r="B271" s="785" t="s">
        <v>715</v>
      </c>
      <c r="C271" s="803"/>
      <c r="D271" s="803"/>
      <c r="E271" s="803"/>
      <c r="F271" s="803"/>
      <c r="G271" s="803"/>
      <c r="H271" s="803"/>
      <c r="I271" s="803"/>
      <c r="J271" s="803"/>
      <c r="K271" s="803"/>
      <c r="L271" s="803"/>
      <c r="M271" s="803"/>
      <c r="N271" s="803"/>
      <c r="O271" s="803"/>
      <c r="P271" s="803"/>
      <c r="Q271" s="803"/>
      <c r="R271" s="803"/>
      <c r="S271" s="789"/>
      <c r="T271" s="789"/>
      <c r="U271" s="789"/>
    </row>
    <row r="272" spans="1:21" ht="15" customHeight="1" hidden="1">
      <c r="A272" s="5"/>
      <c r="B272" s="787" t="s">
        <v>704</v>
      </c>
      <c r="C272" s="787"/>
      <c r="D272" s="787"/>
      <c r="E272" s="787"/>
      <c r="F272" s="787"/>
      <c r="G272" s="787"/>
      <c r="H272" s="787"/>
      <c r="I272" s="787"/>
      <c r="J272" s="788" t="s">
        <v>705</v>
      </c>
      <c r="K272" s="788"/>
      <c r="L272" s="788" t="s">
        <v>706</v>
      </c>
      <c r="M272" s="788"/>
      <c r="N272" s="788"/>
      <c r="O272" s="788"/>
      <c r="P272" s="788" t="s">
        <v>687</v>
      </c>
      <c r="Q272" s="788"/>
      <c r="R272" s="788"/>
      <c r="S272" s="788"/>
      <c r="T272" s="788" t="s">
        <v>707</v>
      </c>
      <c r="U272" s="788"/>
    </row>
    <row r="273" spans="1:21" ht="15" customHeight="1" hidden="1">
      <c r="A273" s="5"/>
      <c r="B273" s="787"/>
      <c r="C273" s="787"/>
      <c r="D273" s="787"/>
      <c r="E273" s="787"/>
      <c r="F273" s="787"/>
      <c r="G273" s="787"/>
      <c r="H273" s="787"/>
      <c r="I273" s="787"/>
      <c r="J273" s="788"/>
      <c r="K273" s="788"/>
      <c r="L273" s="129" t="s">
        <v>147</v>
      </c>
      <c r="M273" s="129"/>
      <c r="N273" s="129" t="s">
        <v>660</v>
      </c>
      <c r="O273" s="129"/>
      <c r="P273" s="129" t="s">
        <v>147</v>
      </c>
      <c r="Q273" s="129"/>
      <c r="R273" s="129" t="s">
        <v>660</v>
      </c>
      <c r="S273" s="129"/>
      <c r="T273" s="788"/>
      <c r="U273" s="788"/>
    </row>
    <row r="274" spans="1:21" ht="15" customHeight="1" hidden="1">
      <c r="A274" s="5"/>
      <c r="B274" s="831" t="e">
        <f>#REF!</f>
        <v>#REF!</v>
      </c>
      <c r="C274" s="831"/>
      <c r="D274" s="831"/>
      <c r="E274" s="831"/>
      <c r="F274" s="831"/>
      <c r="G274" s="831"/>
      <c r="H274" s="831"/>
      <c r="I274" s="831"/>
      <c r="J274" s="844" t="e">
        <f>#REF!</f>
        <v>#REF!</v>
      </c>
      <c r="K274" s="844"/>
      <c r="L274" s="791" t="e">
        <f>#REF!</f>
        <v>#REF!</v>
      </c>
      <c r="M274" s="791"/>
      <c r="N274" s="845" t="e">
        <f>#REF!</f>
        <v>#REF!</v>
      </c>
      <c r="O274" s="845"/>
      <c r="P274" s="846" t="e">
        <f>#REF!</f>
        <v>#REF!</v>
      </c>
      <c r="Q274" s="846"/>
      <c r="R274" s="806" t="e">
        <f>#REF!</f>
        <v>#REF!</v>
      </c>
      <c r="S274" s="806"/>
      <c r="T274" s="847" t="e">
        <f>#REF!</f>
        <v>#REF!</v>
      </c>
      <c r="U274" s="847"/>
    </row>
    <row r="275" spans="1:21" ht="15" customHeight="1" hidden="1">
      <c r="A275" s="5"/>
      <c r="B275" s="848" t="s">
        <v>708</v>
      </c>
      <c r="C275" s="848"/>
      <c r="D275" s="848"/>
      <c r="E275" s="848"/>
      <c r="F275" s="848"/>
      <c r="G275" s="848"/>
      <c r="H275" s="848"/>
      <c r="I275" s="848"/>
      <c r="J275" s="848"/>
      <c r="K275" s="848"/>
      <c r="L275" s="848"/>
      <c r="M275" s="848"/>
      <c r="N275" s="848"/>
      <c r="O275" s="848"/>
      <c r="P275" s="848"/>
      <c r="Q275" s="848"/>
      <c r="R275" s="848"/>
      <c r="S275" s="848"/>
      <c r="T275" s="847" t="e">
        <f>#REF!</f>
        <v>#REF!</v>
      </c>
      <c r="U275" s="847"/>
    </row>
    <row r="276" spans="1:21" ht="15" customHeight="1" hidden="1">
      <c r="A276" s="5"/>
      <c r="B276" s="851" t="s">
        <v>709</v>
      </c>
      <c r="C276" s="851"/>
      <c r="D276" s="851"/>
      <c r="E276" s="851"/>
      <c r="F276" s="851"/>
      <c r="G276" s="851"/>
      <c r="H276" s="851"/>
      <c r="I276" s="851"/>
      <c r="J276" s="851"/>
      <c r="K276" s="851"/>
      <c r="L276" s="851"/>
      <c r="M276" s="851"/>
      <c r="N276" s="851"/>
      <c r="O276" s="851"/>
      <c r="P276" s="851"/>
      <c r="Q276" s="851"/>
      <c r="R276" s="851"/>
      <c r="S276" s="851"/>
      <c r="T276" s="795" t="e">
        <f>#REF!</f>
        <v>#REF!</v>
      </c>
      <c r="U276" s="795"/>
    </row>
    <row r="277" spans="1:21" ht="15" customHeight="1" hidden="1">
      <c r="A277" s="5"/>
      <c r="B277" s="815">
        <f>B267</f>
        <v>0</v>
      </c>
      <c r="C277" s="809"/>
      <c r="D277" s="809"/>
      <c r="E277" s="759"/>
      <c r="F277" s="803"/>
      <c r="G277" s="803"/>
      <c r="H277" s="803"/>
      <c r="I277" s="803"/>
      <c r="J277" s="803"/>
      <c r="K277" s="803"/>
      <c r="L277" s="832"/>
      <c r="M277" s="832"/>
      <c r="N277" s="833"/>
      <c r="O277" s="178"/>
      <c r="P277" s="834"/>
      <c r="Q277" s="834"/>
      <c r="R277" s="835"/>
      <c r="S277" s="836"/>
      <c r="T277" s="837"/>
      <c r="U277" s="838"/>
    </row>
    <row r="278" spans="1:21" ht="15" customHeight="1" hidden="1">
      <c r="A278" s="5"/>
      <c r="B278" s="802" t="e">
        <f>#REF!</f>
        <v>#REF!</v>
      </c>
      <c r="C278" s="802"/>
      <c r="D278" s="802"/>
      <c r="E278" s="802"/>
      <c r="F278" s="802"/>
      <c r="G278" s="802"/>
      <c r="H278" s="802"/>
      <c r="I278" s="802"/>
      <c r="J278" s="802"/>
      <c r="K278" s="802"/>
      <c r="L278" s="802"/>
      <c r="M278" s="802"/>
      <c r="N278" s="802"/>
      <c r="O278" s="802"/>
      <c r="P278" s="802"/>
      <c r="Q278" s="802"/>
      <c r="R278" s="802"/>
      <c r="S278" s="802"/>
      <c r="T278" s="802"/>
      <c r="U278" s="802"/>
    </row>
    <row r="279" spans="1:21" ht="15" customHeight="1" hidden="1">
      <c r="A279" s="5"/>
      <c r="B279" s="802" t="e">
        <f>#REF!</f>
        <v>#REF!</v>
      </c>
      <c r="C279" s="802"/>
      <c r="D279" s="802"/>
      <c r="E279" s="802"/>
      <c r="F279" s="802"/>
      <c r="G279" s="802"/>
      <c r="H279" s="802"/>
      <c r="I279" s="802"/>
      <c r="J279" s="802"/>
      <c r="K279" s="802"/>
      <c r="L279" s="802"/>
      <c r="M279" s="802"/>
      <c r="N279" s="802"/>
      <c r="O279" s="802"/>
      <c r="P279" s="802"/>
      <c r="Q279" s="802"/>
      <c r="R279" s="802"/>
      <c r="S279" s="802"/>
      <c r="T279" s="802"/>
      <c r="U279" s="802"/>
    </row>
    <row r="280" spans="1:21" ht="12" customHeight="1" hidden="1">
      <c r="A280" s="5"/>
      <c r="B280" s="859"/>
      <c r="C280" s="860"/>
      <c r="D280" s="860"/>
      <c r="E280" s="860"/>
      <c r="F280" s="860"/>
      <c r="G280" s="860"/>
      <c r="H280" s="860"/>
      <c r="I280" s="860"/>
      <c r="J280" s="860"/>
      <c r="K280" s="860"/>
      <c r="L280" s="860"/>
      <c r="M280" s="860"/>
      <c r="N280" s="860"/>
      <c r="O280" s="860"/>
      <c r="P280" s="860"/>
      <c r="Q280" s="860"/>
      <c r="R280" s="860"/>
      <c r="S280" s="860"/>
      <c r="T280" s="861"/>
      <c r="U280"/>
    </row>
    <row r="281" spans="1:21" ht="18" customHeight="1" hidden="1">
      <c r="A281" s="5"/>
      <c r="B281" s="785" t="s">
        <v>716</v>
      </c>
      <c r="C281" s="809"/>
      <c r="D281" s="809"/>
      <c r="E281" s="809"/>
      <c r="F281" s="809"/>
      <c r="G281" s="809"/>
      <c r="H281" s="809"/>
      <c r="I281" s="809"/>
      <c r="J281" s="809"/>
      <c r="K281" s="809"/>
      <c r="L281" s="809"/>
      <c r="M281" s="809"/>
      <c r="N281" s="809"/>
      <c r="O281" s="809"/>
      <c r="P281" s="809"/>
      <c r="Q281" s="809"/>
      <c r="R281" s="809"/>
      <c r="S281" s="809"/>
      <c r="T281" s="809"/>
      <c r="U281" s="809"/>
    </row>
    <row r="282" spans="1:21" ht="15" customHeight="1" hidden="1">
      <c r="A282" s="5"/>
      <c r="B282" s="787" t="s">
        <v>704</v>
      </c>
      <c r="C282" s="787"/>
      <c r="D282" s="787"/>
      <c r="E282" s="787"/>
      <c r="F282" s="787"/>
      <c r="G282" s="788" t="s">
        <v>705</v>
      </c>
      <c r="H282" s="788" t="s">
        <v>706</v>
      </c>
      <c r="I282" s="788"/>
      <c r="J282" s="788"/>
      <c r="K282" s="788"/>
      <c r="L282" s="788"/>
      <c r="M282" s="788"/>
      <c r="N282" s="862" t="s">
        <v>687</v>
      </c>
      <c r="O282" s="862"/>
      <c r="P282" s="862"/>
      <c r="Q282" s="862"/>
      <c r="R282" s="862"/>
      <c r="S282" s="862"/>
      <c r="T282" s="788" t="s">
        <v>707</v>
      </c>
      <c r="U282" s="788"/>
    </row>
    <row r="283" spans="1:21" ht="15" customHeight="1" hidden="1">
      <c r="A283" s="5"/>
      <c r="B283" s="787"/>
      <c r="C283" s="787"/>
      <c r="D283" s="787"/>
      <c r="E283" s="787"/>
      <c r="F283" s="787"/>
      <c r="G283" s="788"/>
      <c r="H283" s="856" t="s">
        <v>713</v>
      </c>
      <c r="I283" s="856"/>
      <c r="J283" s="856" t="s">
        <v>714</v>
      </c>
      <c r="K283" s="856"/>
      <c r="L283" s="856" t="s">
        <v>660</v>
      </c>
      <c r="M283" s="856"/>
      <c r="N283" s="856" t="s">
        <v>688</v>
      </c>
      <c r="O283" s="856"/>
      <c r="P283" s="856" t="s">
        <v>692</v>
      </c>
      <c r="Q283" s="856"/>
      <c r="R283" s="863" t="s">
        <v>660</v>
      </c>
      <c r="S283" s="863"/>
      <c r="T283" s="788"/>
      <c r="U283" s="788"/>
    </row>
    <row r="284" spans="1:21" ht="15" customHeight="1" hidden="1">
      <c r="A284" s="5"/>
      <c r="B284" s="831" t="e">
        <f>#REF!</f>
        <v>#REF!</v>
      </c>
      <c r="C284" s="831"/>
      <c r="D284" s="831"/>
      <c r="E284" s="831"/>
      <c r="F284" s="831"/>
      <c r="G284" s="846" t="e">
        <f>#REF!</f>
        <v>#REF!</v>
      </c>
      <c r="H284" s="846" t="e">
        <f>#REF!</f>
        <v>#REF!</v>
      </c>
      <c r="I284" s="846"/>
      <c r="J284" s="858" t="e">
        <f>#REF!</f>
        <v>#REF!</v>
      </c>
      <c r="K284" s="858"/>
      <c r="L284" s="845" t="e">
        <f>#REF!</f>
        <v>#REF!</v>
      </c>
      <c r="M284" s="845"/>
      <c r="N284" s="846" t="e">
        <f>#REF!</f>
        <v>#REF!</v>
      </c>
      <c r="O284" s="846"/>
      <c r="P284" s="858" t="e">
        <f>#REF!</f>
        <v>#REF!</v>
      </c>
      <c r="Q284" s="858"/>
      <c r="R284" s="864" t="e">
        <f>#REF!</f>
        <v>#REF!</v>
      </c>
      <c r="S284" s="864"/>
      <c r="T284" s="847" t="e">
        <f>#REF!</f>
        <v>#REF!</v>
      </c>
      <c r="U284" s="847"/>
    </row>
    <row r="285" spans="1:21" ht="15" customHeight="1" hidden="1">
      <c r="A285" s="5"/>
      <c r="B285" s="865" t="s">
        <v>708</v>
      </c>
      <c r="C285" s="865"/>
      <c r="D285" s="865"/>
      <c r="E285" s="865"/>
      <c r="F285" s="865"/>
      <c r="G285" s="865"/>
      <c r="H285" s="865"/>
      <c r="I285" s="865"/>
      <c r="J285" s="865"/>
      <c r="K285" s="865"/>
      <c r="L285" s="865"/>
      <c r="M285" s="865"/>
      <c r="N285" s="865"/>
      <c r="O285" s="865"/>
      <c r="P285" s="865"/>
      <c r="Q285" s="865"/>
      <c r="R285" s="865"/>
      <c r="S285" s="865"/>
      <c r="T285" s="847" t="e">
        <f>#REF!</f>
        <v>#REF!</v>
      </c>
      <c r="U285" s="847"/>
    </row>
    <row r="286" spans="1:21" ht="15" customHeight="1" hidden="1">
      <c r="A286" s="5"/>
      <c r="B286" s="851" t="s">
        <v>709</v>
      </c>
      <c r="C286" s="851"/>
      <c r="D286" s="851"/>
      <c r="E286" s="851"/>
      <c r="F286" s="851"/>
      <c r="G286" s="851"/>
      <c r="H286" s="851"/>
      <c r="I286" s="851"/>
      <c r="J286" s="851"/>
      <c r="K286" s="851"/>
      <c r="L286" s="851"/>
      <c r="M286" s="851"/>
      <c r="N286" s="851"/>
      <c r="O286" s="851"/>
      <c r="P286" s="851"/>
      <c r="Q286" s="851"/>
      <c r="R286" s="851"/>
      <c r="S286" s="851"/>
      <c r="T286" s="795" t="e">
        <f>#REF!</f>
        <v>#REF!</v>
      </c>
      <c r="U286" s="795"/>
    </row>
    <row r="287" spans="1:21" ht="15" customHeight="1" hidden="1">
      <c r="A287" s="5"/>
      <c r="B287" s="815">
        <f>B277</f>
        <v>0</v>
      </c>
      <c r="C287" s="809"/>
      <c r="D287" s="809"/>
      <c r="E287" s="759"/>
      <c r="F287" s="803"/>
      <c r="G287" s="803"/>
      <c r="H287" s="803"/>
      <c r="I287" s="803"/>
      <c r="J287" s="803"/>
      <c r="K287" s="803"/>
      <c r="L287" s="832"/>
      <c r="M287" s="832"/>
      <c r="N287" s="833"/>
      <c r="O287" s="178"/>
      <c r="P287" s="834"/>
      <c r="Q287" s="834"/>
      <c r="R287" s="835"/>
      <c r="S287" s="836"/>
      <c r="T287" s="837"/>
      <c r="U287" s="838"/>
    </row>
    <row r="288" spans="1:21" ht="15" customHeight="1" hidden="1">
      <c r="A288" s="5"/>
      <c r="B288" s="802" t="e">
        <f>#REF!</f>
        <v>#REF!</v>
      </c>
      <c r="C288" s="802"/>
      <c r="D288" s="802"/>
      <c r="E288" s="802"/>
      <c r="F288" s="802"/>
      <c r="G288" s="802"/>
      <c r="H288" s="802"/>
      <c r="I288" s="802"/>
      <c r="J288" s="802"/>
      <c r="K288" s="802"/>
      <c r="L288" s="802"/>
      <c r="M288" s="802"/>
      <c r="N288" s="802"/>
      <c r="O288" s="802"/>
      <c r="P288" s="802"/>
      <c r="Q288" s="802"/>
      <c r="R288" s="802"/>
      <c r="S288" s="802"/>
      <c r="T288" s="802"/>
      <c r="U288" s="802"/>
    </row>
    <row r="289" spans="1:21" ht="15" customHeight="1" hidden="1">
      <c r="A289" s="5"/>
      <c r="B289" s="802" t="e">
        <f>#REF!</f>
        <v>#REF!</v>
      </c>
      <c r="C289" s="802"/>
      <c r="D289" s="802"/>
      <c r="E289" s="802"/>
      <c r="F289" s="802"/>
      <c r="G289" s="802"/>
      <c r="H289" s="802"/>
      <c r="I289" s="802"/>
      <c r="J289" s="802"/>
      <c r="K289" s="802"/>
      <c r="L289" s="802"/>
      <c r="M289" s="802"/>
      <c r="N289" s="802"/>
      <c r="O289" s="802"/>
      <c r="P289" s="802"/>
      <c r="Q289" s="802"/>
      <c r="R289" s="802"/>
      <c r="S289" s="802"/>
      <c r="T289" s="802"/>
      <c r="U289" s="802"/>
    </row>
    <row r="290" spans="1:20" ht="19.5" customHeight="1">
      <c r="A290" s="5"/>
      <c r="B290" s="5"/>
      <c r="C290" s="5"/>
      <c r="D290" s="5"/>
      <c r="E290" s="5"/>
      <c r="F290" s="5"/>
      <c r="G290" s="5"/>
      <c r="H290" s="5"/>
      <c r="I290" s="5"/>
      <c r="J290" s="5"/>
      <c r="K290" s="5"/>
      <c r="L290" s="5"/>
      <c r="M290" s="5"/>
      <c r="N290" s="5"/>
      <c r="O290" s="5"/>
      <c r="P290" s="5"/>
      <c r="Q290"/>
      <c r="R290"/>
      <c r="S290"/>
      <c r="T290"/>
    </row>
    <row r="291" spans="1:20" ht="14.25">
      <c r="A291" s="5"/>
      <c r="B291" s="745" t="s">
        <v>717</v>
      </c>
      <c r="C291" s="745"/>
      <c r="D291" s="745"/>
      <c r="E291" s="745"/>
      <c r="F291" s="745"/>
      <c r="G291" s="745"/>
      <c r="H291" s="745"/>
      <c r="I291" s="745"/>
      <c r="J291" s="745"/>
      <c r="K291" s="745"/>
      <c r="L291" s="745"/>
      <c r="M291" s="745"/>
      <c r="N291" s="745"/>
      <c r="O291" s="745"/>
      <c r="P291" s="745"/>
      <c r="Q291" s="745"/>
      <c r="R291" s="745"/>
      <c r="S291" s="745"/>
      <c r="T291" s="745"/>
    </row>
    <row r="292" spans="1:2" ht="14.25">
      <c r="A292" s="5"/>
      <c r="B292" s="738"/>
    </row>
    <row r="293" spans="1:2" ht="15">
      <c r="A293" s="5"/>
      <c r="B293" s="866" t="s">
        <v>718</v>
      </c>
    </row>
    <row r="294" spans="1:2" ht="15">
      <c r="A294" s="5"/>
      <c r="B294" s="866" t="s">
        <v>719</v>
      </c>
    </row>
    <row r="295" ht="12.75">
      <c r="A295" s="5"/>
    </row>
    <row r="296" spans="1:2" ht="14.25">
      <c r="A296" s="5"/>
      <c r="B296" s="738" t="s">
        <v>720</v>
      </c>
    </row>
    <row r="297" ht="12.75">
      <c r="A297" s="5"/>
    </row>
    <row r="298" spans="1:2" ht="15.75">
      <c r="A298" s="5"/>
      <c r="B298" s="867" t="s">
        <v>721</v>
      </c>
    </row>
    <row r="299" ht="12.75">
      <c r="A299" s="5"/>
    </row>
    <row r="300" spans="1:2" ht="15">
      <c r="A300" s="5"/>
      <c r="B300" s="866" t="s">
        <v>722</v>
      </c>
    </row>
    <row r="301" spans="1:19" ht="14.25">
      <c r="A301" s="5"/>
      <c r="B301"/>
      <c r="C301"/>
      <c r="D301"/>
      <c r="E301"/>
      <c r="F301"/>
      <c r="G301"/>
      <c r="H301"/>
      <c r="I301"/>
      <c r="J301"/>
      <c r="K301"/>
      <c r="L301"/>
      <c r="M301"/>
      <c r="N301"/>
      <c r="O301"/>
      <c r="P301"/>
      <c r="Q301"/>
      <c r="R301"/>
      <c r="S301"/>
    </row>
    <row r="302" spans="1:19" ht="14.25">
      <c r="A302" s="5"/>
      <c r="B302"/>
      <c r="C302"/>
      <c r="D302"/>
      <c r="E302"/>
      <c r="F302"/>
      <c r="G302"/>
      <c r="H302"/>
      <c r="I302"/>
      <c r="J302"/>
      <c r="K302"/>
      <c r="L302"/>
      <c r="M302"/>
      <c r="N302"/>
      <c r="O302"/>
      <c r="P302"/>
      <c r="Q302"/>
      <c r="R302"/>
      <c r="S302"/>
    </row>
    <row r="303" spans="1:16" ht="14.25">
      <c r="A303" s="5"/>
      <c r="B303" s="868"/>
      <c r="C303" s="74"/>
      <c r="D303" s="74"/>
      <c r="E303" s="74"/>
      <c r="F303" s="74"/>
      <c r="G303" s="74"/>
      <c r="H303" s="74"/>
      <c r="I303" s="74"/>
      <c r="J303" s="74"/>
      <c r="K303" s="74"/>
      <c r="L303" s="74"/>
      <c r="M303" s="74"/>
      <c r="N303" s="74"/>
      <c r="O303" s="74"/>
      <c r="P303" s="5"/>
    </row>
  </sheetData>
  <sheetProtection selectLockedCells="1" selectUnlockedCells="1"/>
  <mergeCells count="970">
    <mergeCell ref="B10:M10"/>
    <mergeCell ref="P10:R10"/>
    <mergeCell ref="B12:F12"/>
    <mergeCell ref="B13:F13"/>
    <mergeCell ref="B15:F15"/>
    <mergeCell ref="O17:T17"/>
    <mergeCell ref="B20:N20"/>
    <mergeCell ref="B22:T22"/>
    <mergeCell ref="H24:I24"/>
    <mergeCell ref="M24:N24"/>
    <mergeCell ref="J25:L25"/>
    <mergeCell ref="J26:L26"/>
    <mergeCell ref="J30:L30"/>
    <mergeCell ref="J31:L31"/>
    <mergeCell ref="B33:E34"/>
    <mergeCell ref="F33:I33"/>
    <mergeCell ref="J33:M33"/>
    <mergeCell ref="N33:Q33"/>
    <mergeCell ref="F34:G34"/>
    <mergeCell ref="H34:I34"/>
    <mergeCell ref="J34:K34"/>
    <mergeCell ref="L34:M34"/>
    <mergeCell ref="N34:O34"/>
    <mergeCell ref="P34:Q34"/>
    <mergeCell ref="B35:E35"/>
    <mergeCell ref="F35:G35"/>
    <mergeCell ref="H35:I35"/>
    <mergeCell ref="J35:K35"/>
    <mergeCell ref="L35:M35"/>
    <mergeCell ref="N35:O35"/>
    <mergeCell ref="P35:Q35"/>
    <mergeCell ref="B36:E36"/>
    <mergeCell ref="F36:G36"/>
    <mergeCell ref="H36:I36"/>
    <mergeCell ref="J36:K36"/>
    <mergeCell ref="L36:M36"/>
    <mergeCell ref="N36:O36"/>
    <mergeCell ref="P36:Q36"/>
    <mergeCell ref="R36:U41"/>
    <mergeCell ref="B37:E37"/>
    <mergeCell ref="F37:G37"/>
    <mergeCell ref="H37:I37"/>
    <mergeCell ref="J37:K37"/>
    <mergeCell ref="L37:M37"/>
    <mergeCell ref="N37:O37"/>
    <mergeCell ref="P37:Q37"/>
    <mergeCell ref="B38:E38"/>
    <mergeCell ref="F38:I38"/>
    <mergeCell ref="J38:M38"/>
    <mergeCell ref="N38:Q38"/>
    <mergeCell ref="B39:Q39"/>
    <mergeCell ref="B40:E40"/>
    <mergeCell ref="F40:G40"/>
    <mergeCell ref="H40:I40"/>
    <mergeCell ref="J40:K40"/>
    <mergeCell ref="L40:M40"/>
    <mergeCell ref="N40:O40"/>
    <mergeCell ref="P40:Q40"/>
    <mergeCell ref="B41:E41"/>
    <mergeCell ref="F41:G41"/>
    <mergeCell ref="H41:I41"/>
    <mergeCell ref="J41:K41"/>
    <mergeCell ref="L41:M41"/>
    <mergeCell ref="N41:O41"/>
    <mergeCell ref="P41:Q41"/>
    <mergeCell ref="B44:F44"/>
    <mergeCell ref="G44:J44"/>
    <mergeCell ref="L44:P44"/>
    <mergeCell ref="Q44:U44"/>
    <mergeCell ref="B45:F45"/>
    <mergeCell ref="G45:J45"/>
    <mergeCell ref="L45:P45"/>
    <mergeCell ref="Q45:U45"/>
    <mergeCell ref="B46:F46"/>
    <mergeCell ref="G46:J46"/>
    <mergeCell ref="L46:P46"/>
    <mergeCell ref="Q46:U46"/>
    <mergeCell ref="B47:F47"/>
    <mergeCell ref="G47:J47"/>
    <mergeCell ref="L47:P47"/>
    <mergeCell ref="Q47:U47"/>
    <mergeCell ref="B48:F48"/>
    <mergeCell ref="G48:J48"/>
    <mergeCell ref="L48:P48"/>
    <mergeCell ref="Q48:U48"/>
    <mergeCell ref="B49:F49"/>
    <mergeCell ref="G49:J49"/>
    <mergeCell ref="L49:P49"/>
    <mergeCell ref="Q49:U49"/>
    <mergeCell ref="B51:G51"/>
    <mergeCell ref="H51:J51"/>
    <mergeCell ref="L51:P51"/>
    <mergeCell ref="Q51:U51"/>
    <mergeCell ref="B52:G52"/>
    <mergeCell ref="H52:J52"/>
    <mergeCell ref="L52:P52"/>
    <mergeCell ref="Q52:U52"/>
    <mergeCell ref="B53:G53"/>
    <mergeCell ref="H53:J53"/>
    <mergeCell ref="L53:P53"/>
    <mergeCell ref="Q53:U53"/>
    <mergeCell ref="B54:G54"/>
    <mergeCell ref="H54:J54"/>
    <mergeCell ref="L54:P54"/>
    <mergeCell ref="Q54:U54"/>
    <mergeCell ref="B55:G55"/>
    <mergeCell ref="H55:J55"/>
    <mergeCell ref="L55:P55"/>
    <mergeCell ref="Q55:U55"/>
    <mergeCell ref="B56:G56"/>
    <mergeCell ref="H56:J56"/>
    <mergeCell ref="B57:G57"/>
    <mergeCell ref="H57:J57"/>
    <mergeCell ref="L57:P57"/>
    <mergeCell ref="Q57:U57"/>
    <mergeCell ref="B58:G58"/>
    <mergeCell ref="H58:J58"/>
    <mergeCell ref="L58:P58"/>
    <mergeCell ref="Q58:U58"/>
    <mergeCell ref="B59:G59"/>
    <mergeCell ref="H59:J59"/>
    <mergeCell ref="L59:P59"/>
    <mergeCell ref="Q59:U59"/>
    <mergeCell ref="B62:U63"/>
    <mergeCell ref="C69:E70"/>
    <mergeCell ref="F69:F70"/>
    <mergeCell ref="G69:M70"/>
    <mergeCell ref="N69:Q69"/>
    <mergeCell ref="R69:S70"/>
    <mergeCell ref="N70:O70"/>
    <mergeCell ref="P70:Q70"/>
    <mergeCell ref="C71:E71"/>
    <mergeCell ref="G71:M71"/>
    <mergeCell ref="N71:O71"/>
    <mergeCell ref="P71:Q71"/>
    <mergeCell ref="R71:S71"/>
    <mergeCell ref="C72:E72"/>
    <mergeCell ref="G72:M72"/>
    <mergeCell ref="N72:O72"/>
    <mergeCell ref="P72:Q72"/>
    <mergeCell ref="R72:S72"/>
    <mergeCell ref="C73:E73"/>
    <mergeCell ref="G73:M73"/>
    <mergeCell ref="N73:O73"/>
    <mergeCell ref="P73:Q73"/>
    <mergeCell ref="R73:S73"/>
    <mergeCell ref="C74:E74"/>
    <mergeCell ref="G74:M74"/>
    <mergeCell ref="N74:O74"/>
    <mergeCell ref="P74:Q74"/>
    <mergeCell ref="R74:S74"/>
    <mergeCell ref="C75:E75"/>
    <mergeCell ref="G75:M75"/>
    <mergeCell ref="N75:O75"/>
    <mergeCell ref="P75:Q75"/>
    <mergeCell ref="R75:S75"/>
    <mergeCell ref="C76:E76"/>
    <mergeCell ref="G76:M76"/>
    <mergeCell ref="N76:O76"/>
    <mergeCell ref="P76:Q76"/>
    <mergeCell ref="R76:S76"/>
    <mergeCell ref="C77:E77"/>
    <mergeCell ref="G77:M77"/>
    <mergeCell ref="N77:O77"/>
    <mergeCell ref="P77:Q77"/>
    <mergeCell ref="R77:S77"/>
    <mergeCell ref="C78:E78"/>
    <mergeCell ref="G78:M78"/>
    <mergeCell ref="N78:O78"/>
    <mergeCell ref="P78:Q78"/>
    <mergeCell ref="R78:S78"/>
    <mergeCell ref="C79:E79"/>
    <mergeCell ref="G79:M79"/>
    <mergeCell ref="N79:O79"/>
    <mergeCell ref="P79:Q79"/>
    <mergeCell ref="R79:S79"/>
    <mergeCell ref="C80:E80"/>
    <mergeCell ref="G80:M80"/>
    <mergeCell ref="N80:O80"/>
    <mergeCell ref="P80:Q80"/>
    <mergeCell ref="R80:S80"/>
    <mergeCell ref="C81:E81"/>
    <mergeCell ref="G81:M81"/>
    <mergeCell ref="N81:O81"/>
    <mergeCell ref="P81:Q81"/>
    <mergeCell ref="R81:S81"/>
    <mergeCell ref="C82:E82"/>
    <mergeCell ref="G82:M82"/>
    <mergeCell ref="N82:O82"/>
    <mergeCell ref="P82:Q82"/>
    <mergeCell ref="R82:S82"/>
    <mergeCell ref="C83:E83"/>
    <mergeCell ref="G83:M83"/>
    <mergeCell ref="N83:O83"/>
    <mergeCell ref="P83:Q83"/>
    <mergeCell ref="R83:S83"/>
    <mergeCell ref="C84:E84"/>
    <mergeCell ref="G84:M84"/>
    <mergeCell ref="N84:O84"/>
    <mergeCell ref="P84:Q84"/>
    <mergeCell ref="R84:S84"/>
    <mergeCell ref="C85:E85"/>
    <mergeCell ref="G85:M85"/>
    <mergeCell ref="N85:O85"/>
    <mergeCell ref="P85:Q85"/>
    <mergeCell ref="R85:S85"/>
    <mergeCell ref="C86:E86"/>
    <mergeCell ref="G86:M86"/>
    <mergeCell ref="N86:O86"/>
    <mergeCell ref="P86:Q86"/>
    <mergeCell ref="R86:S86"/>
    <mergeCell ref="C87:E87"/>
    <mergeCell ref="G87:M87"/>
    <mergeCell ref="N87:O87"/>
    <mergeCell ref="P87:Q87"/>
    <mergeCell ref="R87:S87"/>
    <mergeCell ref="C88:E88"/>
    <mergeCell ref="G88:M88"/>
    <mergeCell ref="N88:O88"/>
    <mergeCell ref="P88:Q88"/>
    <mergeCell ref="R88:S88"/>
    <mergeCell ref="C89:E89"/>
    <mergeCell ref="G89:M89"/>
    <mergeCell ref="N89:O89"/>
    <mergeCell ref="P89:Q89"/>
    <mergeCell ref="R89:S89"/>
    <mergeCell ref="C90:E90"/>
    <mergeCell ref="G90:M90"/>
    <mergeCell ref="N90:O90"/>
    <mergeCell ref="P90:Q90"/>
    <mergeCell ref="R90:S90"/>
    <mergeCell ref="C91:E91"/>
    <mergeCell ref="G91:M91"/>
    <mergeCell ref="N91:O91"/>
    <mergeCell ref="P91:Q91"/>
    <mergeCell ref="R91:S91"/>
    <mergeCell ref="C92:E92"/>
    <mergeCell ref="G92:M92"/>
    <mergeCell ref="N92:O92"/>
    <mergeCell ref="P92:Q92"/>
    <mergeCell ref="R92:S92"/>
    <mergeCell ref="C93:E93"/>
    <mergeCell ref="G93:M93"/>
    <mergeCell ref="N93:O93"/>
    <mergeCell ref="P93:Q93"/>
    <mergeCell ref="R93:S93"/>
    <mergeCell ref="C94:E94"/>
    <mergeCell ref="G94:M94"/>
    <mergeCell ref="N94:O94"/>
    <mergeCell ref="P94:Q94"/>
    <mergeCell ref="R94:S94"/>
    <mergeCell ref="C95:E95"/>
    <mergeCell ref="G95:M95"/>
    <mergeCell ref="N95:O95"/>
    <mergeCell ref="P95:Q95"/>
    <mergeCell ref="R95:S95"/>
    <mergeCell ref="C96:E96"/>
    <mergeCell ref="G96:M96"/>
    <mergeCell ref="N96:O96"/>
    <mergeCell ref="P96:Q96"/>
    <mergeCell ref="R96:S96"/>
    <mergeCell ref="C97:E97"/>
    <mergeCell ref="G97:M97"/>
    <mergeCell ref="N97:O97"/>
    <mergeCell ref="P97:Q97"/>
    <mergeCell ref="R97:S97"/>
    <mergeCell ref="C98:E98"/>
    <mergeCell ref="G98:M98"/>
    <mergeCell ref="N98:O98"/>
    <mergeCell ref="P98:Q98"/>
    <mergeCell ref="R98:S98"/>
    <mergeCell ref="C99:E99"/>
    <mergeCell ref="G99:M99"/>
    <mergeCell ref="N99:O99"/>
    <mergeCell ref="P99:Q99"/>
    <mergeCell ref="R99:S99"/>
    <mergeCell ref="C100:E100"/>
    <mergeCell ref="G100:M100"/>
    <mergeCell ref="N100:O100"/>
    <mergeCell ref="P100:Q100"/>
    <mergeCell ref="R100:S100"/>
    <mergeCell ref="C101:E101"/>
    <mergeCell ref="G101:M101"/>
    <mergeCell ref="N101:O101"/>
    <mergeCell ref="P101:Q101"/>
    <mergeCell ref="R101:S101"/>
    <mergeCell ref="C102:E102"/>
    <mergeCell ref="G102:M102"/>
    <mergeCell ref="N102:O102"/>
    <mergeCell ref="P102:Q102"/>
    <mergeCell ref="R102:S102"/>
    <mergeCell ref="C103:E103"/>
    <mergeCell ref="G103:M103"/>
    <mergeCell ref="N103:O103"/>
    <mergeCell ref="P103:Q103"/>
    <mergeCell ref="R103:S103"/>
    <mergeCell ref="C104:E104"/>
    <mergeCell ref="G104:M104"/>
    <mergeCell ref="N104:O104"/>
    <mergeCell ref="P104:Q104"/>
    <mergeCell ref="R104:S104"/>
    <mergeCell ref="C105:E105"/>
    <mergeCell ref="G105:M105"/>
    <mergeCell ref="N105:O105"/>
    <mergeCell ref="P105:Q105"/>
    <mergeCell ref="R105:S105"/>
    <mergeCell ref="C106:E106"/>
    <mergeCell ref="G106:M106"/>
    <mergeCell ref="N106:O106"/>
    <mergeCell ref="P106:Q106"/>
    <mergeCell ref="R106:S106"/>
    <mergeCell ref="C107:E107"/>
    <mergeCell ref="G107:M107"/>
    <mergeCell ref="N107:O107"/>
    <mergeCell ref="P107:Q107"/>
    <mergeCell ref="R107:S107"/>
    <mergeCell ref="C108:E108"/>
    <mergeCell ref="G108:M108"/>
    <mergeCell ref="N108:O108"/>
    <mergeCell ref="P108:Q108"/>
    <mergeCell ref="R108:S108"/>
    <mergeCell ref="C109:E109"/>
    <mergeCell ref="G109:M109"/>
    <mergeCell ref="N109:O109"/>
    <mergeCell ref="P109:Q109"/>
    <mergeCell ref="R109:S109"/>
    <mergeCell ref="C110:E110"/>
    <mergeCell ref="G110:M110"/>
    <mergeCell ref="N110:O110"/>
    <mergeCell ref="P110:Q110"/>
    <mergeCell ref="R110:S110"/>
    <mergeCell ref="C111:M111"/>
    <mergeCell ref="N111:O111"/>
    <mergeCell ref="P111:Q111"/>
    <mergeCell ref="R111:S111"/>
    <mergeCell ref="C113:S113"/>
    <mergeCell ref="C114:S114"/>
    <mergeCell ref="C117:F118"/>
    <mergeCell ref="G117:M118"/>
    <mergeCell ref="N117:Q117"/>
    <mergeCell ref="R117:S118"/>
    <mergeCell ref="N118:O118"/>
    <mergeCell ref="P118:Q118"/>
    <mergeCell ref="C119:F119"/>
    <mergeCell ref="G119:M119"/>
    <mergeCell ref="N119:O119"/>
    <mergeCell ref="P119:Q119"/>
    <mergeCell ref="R119:S119"/>
    <mergeCell ref="C120:S120"/>
    <mergeCell ref="C121:F121"/>
    <mergeCell ref="G121:M121"/>
    <mergeCell ref="N121:O121"/>
    <mergeCell ref="P121:Q121"/>
    <mergeCell ref="R121:S121"/>
    <mergeCell ref="C122:S122"/>
    <mergeCell ref="C123:F123"/>
    <mergeCell ref="G123:M123"/>
    <mergeCell ref="N123:O123"/>
    <mergeCell ref="P123:Q123"/>
    <mergeCell ref="R123:S123"/>
    <mergeCell ref="C124:S124"/>
    <mergeCell ref="C125:M125"/>
    <mergeCell ref="N125:O125"/>
    <mergeCell ref="P125:Q125"/>
    <mergeCell ref="R125:S125"/>
    <mergeCell ref="C127:S127"/>
    <mergeCell ref="C128:S128"/>
    <mergeCell ref="C131:F132"/>
    <mergeCell ref="G131:M132"/>
    <mergeCell ref="N131:Q131"/>
    <mergeCell ref="R131:S132"/>
    <mergeCell ref="N132:O132"/>
    <mergeCell ref="P132:Q132"/>
    <mergeCell ref="C133:F133"/>
    <mergeCell ref="G133:M133"/>
    <mergeCell ref="N133:O133"/>
    <mergeCell ref="P133:Q133"/>
    <mergeCell ref="R133:S133"/>
    <mergeCell ref="C134:F134"/>
    <mergeCell ref="G134:M134"/>
    <mergeCell ref="N134:O134"/>
    <mergeCell ref="P134:Q134"/>
    <mergeCell ref="R134:S134"/>
    <mergeCell ref="C135:F135"/>
    <mergeCell ref="G135:M135"/>
    <mergeCell ref="N135:O135"/>
    <mergeCell ref="P135:Q135"/>
    <mergeCell ref="R135:S135"/>
    <mergeCell ref="C136:M136"/>
    <mergeCell ref="N136:O136"/>
    <mergeCell ref="P136:Q136"/>
    <mergeCell ref="R136:S136"/>
    <mergeCell ref="C138:S138"/>
    <mergeCell ref="C139:S139"/>
    <mergeCell ref="B142:D143"/>
    <mergeCell ref="E142:K143"/>
    <mergeCell ref="L142:S142"/>
    <mergeCell ref="T142:U143"/>
    <mergeCell ref="L143:M143"/>
    <mergeCell ref="N143:O143"/>
    <mergeCell ref="P143:Q143"/>
    <mergeCell ref="R143:S143"/>
    <mergeCell ref="B144:D144"/>
    <mergeCell ref="E144:K144"/>
    <mergeCell ref="L144:M144"/>
    <mergeCell ref="N144:O144"/>
    <mergeCell ref="P144:Q144"/>
    <mergeCell ref="R144:S144"/>
    <mergeCell ref="T144:U144"/>
    <mergeCell ref="B145:D145"/>
    <mergeCell ref="E145:K145"/>
    <mergeCell ref="L145:M145"/>
    <mergeCell ref="N145:O145"/>
    <mergeCell ref="P145:Q145"/>
    <mergeCell ref="R145:S145"/>
    <mergeCell ref="T145:U145"/>
    <mergeCell ref="B146:D146"/>
    <mergeCell ref="E146:K146"/>
    <mergeCell ref="L146:M146"/>
    <mergeCell ref="N146:O146"/>
    <mergeCell ref="P146:Q146"/>
    <mergeCell ref="R146:S146"/>
    <mergeCell ref="T146:U146"/>
    <mergeCell ref="B147:D147"/>
    <mergeCell ref="E147:K147"/>
    <mergeCell ref="L147:M147"/>
    <mergeCell ref="N147:O147"/>
    <mergeCell ref="P147:Q147"/>
    <mergeCell ref="R147:S147"/>
    <mergeCell ref="T147:U147"/>
    <mergeCell ref="B148:D148"/>
    <mergeCell ref="E148:K148"/>
    <mergeCell ref="L148:M148"/>
    <mergeCell ref="N148:O148"/>
    <mergeCell ref="P148:Q148"/>
    <mergeCell ref="R148:S148"/>
    <mergeCell ref="T148:U148"/>
    <mergeCell ref="B149:D149"/>
    <mergeCell ref="E149:K149"/>
    <mergeCell ref="L149:M149"/>
    <mergeCell ref="N149:S149"/>
    <mergeCell ref="T149:U149"/>
    <mergeCell ref="B150:D150"/>
    <mergeCell ref="E150:K150"/>
    <mergeCell ref="L150:M150"/>
    <mergeCell ref="N150:O150"/>
    <mergeCell ref="P150:Q150"/>
    <mergeCell ref="R150:S150"/>
    <mergeCell ref="T150:U150"/>
    <mergeCell ref="B151:D151"/>
    <mergeCell ref="E151:K151"/>
    <mergeCell ref="L151:M151"/>
    <mergeCell ref="N151:O151"/>
    <mergeCell ref="P151:Q151"/>
    <mergeCell ref="R151:S151"/>
    <mergeCell ref="T151:U151"/>
    <mergeCell ref="B152:D152"/>
    <mergeCell ref="E152:K152"/>
    <mergeCell ref="L152:M152"/>
    <mergeCell ref="N152:O152"/>
    <mergeCell ref="P152:Q152"/>
    <mergeCell ref="R152:S152"/>
    <mergeCell ref="T152:U152"/>
    <mergeCell ref="B153:D153"/>
    <mergeCell ref="E153:K153"/>
    <mergeCell ref="L153:M153"/>
    <mergeCell ref="N153:O153"/>
    <mergeCell ref="P153:Q153"/>
    <mergeCell ref="R153:S153"/>
    <mergeCell ref="T153:U153"/>
    <mergeCell ref="B154:D154"/>
    <mergeCell ref="E154:K154"/>
    <mergeCell ref="L154:M154"/>
    <mergeCell ref="N154:O154"/>
    <mergeCell ref="P154:Q154"/>
    <mergeCell ref="R154:S154"/>
    <mergeCell ref="T154:U154"/>
    <mergeCell ref="B155:K155"/>
    <mergeCell ref="L155:M155"/>
    <mergeCell ref="N155:O155"/>
    <mergeCell ref="P155:Q155"/>
    <mergeCell ref="R155:S155"/>
    <mergeCell ref="T155:U155"/>
    <mergeCell ref="B157:U157"/>
    <mergeCell ref="B158:U158"/>
    <mergeCell ref="B161:D162"/>
    <mergeCell ref="E161:F162"/>
    <mergeCell ref="G161:H162"/>
    <mergeCell ref="I161:O162"/>
    <mergeCell ref="P161:S161"/>
    <mergeCell ref="T161:U162"/>
    <mergeCell ref="P162:Q162"/>
    <mergeCell ref="R162:S162"/>
    <mergeCell ref="B163:D163"/>
    <mergeCell ref="E163:F163"/>
    <mergeCell ref="I163:O163"/>
    <mergeCell ref="P163:Q163"/>
    <mergeCell ref="R163:S163"/>
    <mergeCell ref="T163:U163"/>
    <mergeCell ref="B164:D164"/>
    <mergeCell ref="E164:F164"/>
    <mergeCell ref="I164:O164"/>
    <mergeCell ref="P164:Q164"/>
    <mergeCell ref="R164:S164"/>
    <mergeCell ref="T164:U164"/>
    <mergeCell ref="B165:D165"/>
    <mergeCell ref="E165:F165"/>
    <mergeCell ref="I165:O165"/>
    <mergeCell ref="P165:Q165"/>
    <mergeCell ref="R165:S165"/>
    <mergeCell ref="T165:U165"/>
    <mergeCell ref="B166:D166"/>
    <mergeCell ref="E166:F166"/>
    <mergeCell ref="I166:O166"/>
    <mergeCell ref="P166:Q166"/>
    <mergeCell ref="R166:S166"/>
    <mergeCell ref="T166:U166"/>
    <mergeCell ref="B167:D167"/>
    <mergeCell ref="E167:F167"/>
    <mergeCell ref="I167:O167"/>
    <mergeCell ref="P167:Q167"/>
    <mergeCell ref="R167:S167"/>
    <mergeCell ref="T167:U167"/>
    <mergeCell ref="B168:D168"/>
    <mergeCell ref="E168:F168"/>
    <mergeCell ref="I168:O168"/>
    <mergeCell ref="P168:Q168"/>
    <mergeCell ref="R168:S168"/>
    <mergeCell ref="T168:U168"/>
    <mergeCell ref="B169:D169"/>
    <mergeCell ref="E169:F169"/>
    <mergeCell ref="I169:O169"/>
    <mergeCell ref="P169:Q169"/>
    <mergeCell ref="R169:S169"/>
    <mergeCell ref="T169:U169"/>
    <mergeCell ref="B170:D170"/>
    <mergeCell ref="E170:F170"/>
    <mergeCell ref="I170:O170"/>
    <mergeCell ref="P170:Q170"/>
    <mergeCell ref="R170:S170"/>
    <mergeCell ref="T170:U170"/>
    <mergeCell ref="B171:D171"/>
    <mergeCell ref="E171:F171"/>
    <mergeCell ref="I171:O171"/>
    <mergeCell ref="P171:Q171"/>
    <mergeCell ref="R171:S171"/>
    <mergeCell ref="T171:U171"/>
    <mergeCell ref="B172:D172"/>
    <mergeCell ref="E172:F172"/>
    <mergeCell ref="I172:O172"/>
    <mergeCell ref="P172:Q172"/>
    <mergeCell ref="R172:S172"/>
    <mergeCell ref="T172:U172"/>
    <mergeCell ref="B173:D173"/>
    <mergeCell ref="E173:F173"/>
    <mergeCell ref="I173:O173"/>
    <mergeCell ref="P173:Q173"/>
    <mergeCell ref="R173:S173"/>
    <mergeCell ref="T173:U173"/>
    <mergeCell ref="B174:D174"/>
    <mergeCell ref="E174:F174"/>
    <mergeCell ref="I174:O174"/>
    <mergeCell ref="P174:Q174"/>
    <mergeCell ref="R174:S174"/>
    <mergeCell ref="T174:U174"/>
    <mergeCell ref="B175:D175"/>
    <mergeCell ref="E175:F175"/>
    <mergeCell ref="I175:O175"/>
    <mergeCell ref="P175:Q175"/>
    <mergeCell ref="R175:S175"/>
    <mergeCell ref="T175:U175"/>
    <mergeCell ref="B176:D176"/>
    <mergeCell ref="E176:F176"/>
    <mergeCell ref="I176:O176"/>
    <mergeCell ref="P176:Q176"/>
    <mergeCell ref="R176:S176"/>
    <mergeCell ref="T176:U176"/>
    <mergeCell ref="B177:D177"/>
    <mergeCell ref="E177:F177"/>
    <mergeCell ref="I177:O177"/>
    <mergeCell ref="P177:Q177"/>
    <mergeCell ref="R177:S177"/>
    <mergeCell ref="T177:U177"/>
    <mergeCell ref="B178:D178"/>
    <mergeCell ref="E178:F178"/>
    <mergeCell ref="I178:O178"/>
    <mergeCell ref="P178:Q178"/>
    <mergeCell ref="R178:S178"/>
    <mergeCell ref="T178:U178"/>
    <mergeCell ref="B179:D179"/>
    <mergeCell ref="E179:F179"/>
    <mergeCell ref="I179:O179"/>
    <mergeCell ref="P179:Q179"/>
    <mergeCell ref="R179:S179"/>
    <mergeCell ref="T179:U179"/>
    <mergeCell ref="B180:D180"/>
    <mergeCell ref="E180:F180"/>
    <mergeCell ref="I180:O180"/>
    <mergeCell ref="P180:Q180"/>
    <mergeCell ref="R180:S180"/>
    <mergeCell ref="T180:U180"/>
    <mergeCell ref="B181:D181"/>
    <mergeCell ref="E181:F181"/>
    <mergeCell ref="I181:O181"/>
    <mergeCell ref="P181:Q181"/>
    <mergeCell ref="R181:S181"/>
    <mergeCell ref="T181:U181"/>
    <mergeCell ref="B182:D182"/>
    <mergeCell ref="E182:F182"/>
    <mergeCell ref="I182:O182"/>
    <mergeCell ref="P182:Q182"/>
    <mergeCell ref="R182:S182"/>
    <mergeCell ref="T182:U182"/>
    <mergeCell ref="B183:O183"/>
    <mergeCell ref="P183:Q183"/>
    <mergeCell ref="R183:S183"/>
    <mergeCell ref="T183:U183"/>
    <mergeCell ref="B185:U185"/>
    <mergeCell ref="B186:U186"/>
    <mergeCell ref="B189:D190"/>
    <mergeCell ref="E189:G190"/>
    <mergeCell ref="H189:H190"/>
    <mergeCell ref="I189:O190"/>
    <mergeCell ref="P189:S189"/>
    <mergeCell ref="T189:U190"/>
    <mergeCell ref="P190:Q190"/>
    <mergeCell ref="R190:S190"/>
    <mergeCell ref="B191:D191"/>
    <mergeCell ref="E191:G191"/>
    <mergeCell ref="I191:O191"/>
    <mergeCell ref="P191:Q191"/>
    <mergeCell ref="R191:S191"/>
    <mergeCell ref="T191:U191"/>
    <mergeCell ref="B192:D192"/>
    <mergeCell ref="E192:G192"/>
    <mergeCell ref="I192:O192"/>
    <mergeCell ref="P192:Q192"/>
    <mergeCell ref="R192:S192"/>
    <mergeCell ref="T192:U192"/>
    <mergeCell ref="B193:D193"/>
    <mergeCell ref="E193:G193"/>
    <mergeCell ref="I193:O193"/>
    <mergeCell ref="P193:Q193"/>
    <mergeCell ref="R193:S193"/>
    <mergeCell ref="T193:U193"/>
    <mergeCell ref="B194:D194"/>
    <mergeCell ref="E194:G194"/>
    <mergeCell ref="I194:O194"/>
    <mergeCell ref="P194:Q194"/>
    <mergeCell ref="R194:S194"/>
    <mergeCell ref="T194:U194"/>
    <mergeCell ref="B195:D195"/>
    <mergeCell ref="E195:G195"/>
    <mergeCell ref="I195:O195"/>
    <mergeCell ref="P195:Q195"/>
    <mergeCell ref="R195:S195"/>
    <mergeCell ref="T195:U195"/>
    <mergeCell ref="B196:O196"/>
    <mergeCell ref="P196:Q196"/>
    <mergeCell ref="R196:S196"/>
    <mergeCell ref="T196:U196"/>
    <mergeCell ref="B198:U198"/>
    <mergeCell ref="B199:U199"/>
    <mergeCell ref="B202:D203"/>
    <mergeCell ref="E202:F203"/>
    <mergeCell ref="G202:H203"/>
    <mergeCell ref="I202:O203"/>
    <mergeCell ref="P202:S202"/>
    <mergeCell ref="T202:U203"/>
    <mergeCell ref="P203:Q203"/>
    <mergeCell ref="R203:S203"/>
    <mergeCell ref="B204:D204"/>
    <mergeCell ref="E204:F204"/>
    <mergeCell ref="I204:O204"/>
    <mergeCell ref="P204:Q204"/>
    <mergeCell ref="R204:S204"/>
    <mergeCell ref="T204:U204"/>
    <mergeCell ref="B205:D205"/>
    <mergeCell ref="E205:F205"/>
    <mergeCell ref="I205:O205"/>
    <mergeCell ref="P205:Q205"/>
    <mergeCell ref="R205:S205"/>
    <mergeCell ref="T205:U205"/>
    <mergeCell ref="B206:D206"/>
    <mergeCell ref="E206:F206"/>
    <mergeCell ref="I206:O206"/>
    <mergeCell ref="P206:Q206"/>
    <mergeCell ref="R206:S206"/>
    <mergeCell ref="T206:U206"/>
    <mergeCell ref="B207:D207"/>
    <mergeCell ref="E207:F207"/>
    <mergeCell ref="I207:O207"/>
    <mergeCell ref="P207:Q207"/>
    <mergeCell ref="R207:S207"/>
    <mergeCell ref="T207:U207"/>
    <mergeCell ref="B208:D208"/>
    <mergeCell ref="E208:F208"/>
    <mergeCell ref="I208:O208"/>
    <mergeCell ref="P208:Q208"/>
    <mergeCell ref="R208:S208"/>
    <mergeCell ref="T208:U208"/>
    <mergeCell ref="B209:D209"/>
    <mergeCell ref="E209:F209"/>
    <mergeCell ref="I209:O209"/>
    <mergeCell ref="P209:Q209"/>
    <mergeCell ref="R209:S209"/>
    <mergeCell ref="T209:U209"/>
    <mergeCell ref="B210:D210"/>
    <mergeCell ref="E210:F210"/>
    <mergeCell ref="I210:O210"/>
    <mergeCell ref="P210:Q210"/>
    <mergeCell ref="R210:S210"/>
    <mergeCell ref="T210:U210"/>
    <mergeCell ref="B211:D211"/>
    <mergeCell ref="E211:F211"/>
    <mergeCell ref="I211:O211"/>
    <mergeCell ref="P211:Q211"/>
    <mergeCell ref="R211:S211"/>
    <mergeCell ref="T211:U211"/>
    <mergeCell ref="B212:D212"/>
    <mergeCell ref="E212:F212"/>
    <mergeCell ref="I212:O212"/>
    <mergeCell ref="P212:Q212"/>
    <mergeCell ref="R212:S212"/>
    <mergeCell ref="T212:U212"/>
    <mergeCell ref="B213:D213"/>
    <mergeCell ref="E213:F213"/>
    <mergeCell ref="I213:O213"/>
    <mergeCell ref="P213:Q213"/>
    <mergeCell ref="R213:S213"/>
    <mergeCell ref="T213:U213"/>
    <mergeCell ref="B214:D214"/>
    <mergeCell ref="E214:F214"/>
    <mergeCell ref="I214:O214"/>
    <mergeCell ref="P214:Q214"/>
    <mergeCell ref="R214:S214"/>
    <mergeCell ref="T214:U214"/>
    <mergeCell ref="B215:D215"/>
    <mergeCell ref="E215:F215"/>
    <mergeCell ref="I215:O215"/>
    <mergeCell ref="P215:Q215"/>
    <mergeCell ref="R215:S215"/>
    <mergeCell ref="T215:U215"/>
    <mergeCell ref="B216:D216"/>
    <mergeCell ref="E216:F216"/>
    <mergeCell ref="I216:O216"/>
    <mergeCell ref="P216:Q216"/>
    <mergeCell ref="R216:S216"/>
    <mergeCell ref="T216:U216"/>
    <mergeCell ref="B217:D217"/>
    <mergeCell ref="E217:F217"/>
    <mergeCell ref="I217:O217"/>
    <mergeCell ref="P217:Q217"/>
    <mergeCell ref="R217:S217"/>
    <mergeCell ref="T217:U217"/>
    <mergeCell ref="B218:D218"/>
    <mergeCell ref="E218:F218"/>
    <mergeCell ref="I218:O218"/>
    <mergeCell ref="P218:Q218"/>
    <mergeCell ref="R218:S218"/>
    <mergeCell ref="T218:U218"/>
    <mergeCell ref="B219:D219"/>
    <mergeCell ref="E219:F219"/>
    <mergeCell ref="G219:H219"/>
    <mergeCell ref="I219:O219"/>
    <mergeCell ref="P219:Q219"/>
    <mergeCell ref="R219:S219"/>
    <mergeCell ref="T219:U219"/>
    <mergeCell ref="B220:D220"/>
    <mergeCell ref="E220:F220"/>
    <mergeCell ref="G220:H220"/>
    <mergeCell ref="I220:O220"/>
    <mergeCell ref="P220:Q220"/>
    <mergeCell ref="R220:S220"/>
    <mergeCell ref="T220:U220"/>
    <mergeCell ref="B221:D221"/>
    <mergeCell ref="E221:F221"/>
    <mergeCell ref="G221:H221"/>
    <mergeCell ref="I221:O221"/>
    <mergeCell ref="P221:Q221"/>
    <mergeCell ref="R221:S221"/>
    <mergeCell ref="T221:U221"/>
    <mergeCell ref="B222:D222"/>
    <mergeCell ref="E222:F222"/>
    <mergeCell ref="G222:H222"/>
    <mergeCell ref="I222:O222"/>
    <mergeCell ref="P222:Q222"/>
    <mergeCell ref="R222:S222"/>
    <mergeCell ref="T222:U222"/>
    <mergeCell ref="B223:D223"/>
    <mergeCell ref="E223:F223"/>
    <mergeCell ref="G223:H223"/>
    <mergeCell ref="I223:O223"/>
    <mergeCell ref="P223:Q223"/>
    <mergeCell ref="R223:S223"/>
    <mergeCell ref="T223:U223"/>
    <mergeCell ref="B224:D224"/>
    <mergeCell ref="E224:F224"/>
    <mergeCell ref="G224:H224"/>
    <mergeCell ref="I224:O224"/>
    <mergeCell ref="P224:Q224"/>
    <mergeCell ref="R224:S224"/>
    <mergeCell ref="T224:U224"/>
    <mergeCell ref="B225:D225"/>
    <mergeCell ref="E225:F225"/>
    <mergeCell ref="G225:H225"/>
    <mergeCell ref="I225:O225"/>
    <mergeCell ref="P225:Q225"/>
    <mergeCell ref="R225:S225"/>
    <mergeCell ref="T225:U225"/>
    <mergeCell ref="B226:D226"/>
    <mergeCell ref="E226:F226"/>
    <mergeCell ref="G226:H226"/>
    <mergeCell ref="I226:O226"/>
    <mergeCell ref="P226:Q226"/>
    <mergeCell ref="R226:S226"/>
    <mergeCell ref="T226:U226"/>
    <mergeCell ref="B227:D227"/>
    <mergeCell ref="E227:F227"/>
    <mergeCell ref="G227:H227"/>
    <mergeCell ref="I227:O227"/>
    <mergeCell ref="P227:Q227"/>
    <mergeCell ref="R227:S227"/>
    <mergeCell ref="T227:U227"/>
    <mergeCell ref="B228:D228"/>
    <mergeCell ref="E228:F228"/>
    <mergeCell ref="G228:H228"/>
    <mergeCell ref="I228:O228"/>
    <mergeCell ref="P228:Q228"/>
    <mergeCell ref="R228:S228"/>
    <mergeCell ref="T228:U228"/>
    <mergeCell ref="B229:D229"/>
    <mergeCell ref="E229:H229"/>
    <mergeCell ref="J229:O229"/>
    <mergeCell ref="P229:S229"/>
    <mergeCell ref="T229:U229"/>
    <mergeCell ref="B230:O230"/>
    <mergeCell ref="P230:Q230"/>
    <mergeCell ref="R230:S230"/>
    <mergeCell ref="T230:U230"/>
    <mergeCell ref="B232:U232"/>
    <mergeCell ref="B233:U233"/>
    <mergeCell ref="B236:D237"/>
    <mergeCell ref="E236:H237"/>
    <mergeCell ref="I236:I237"/>
    <mergeCell ref="J236:O237"/>
    <mergeCell ref="P236:S236"/>
    <mergeCell ref="T236:U237"/>
    <mergeCell ref="P237:Q237"/>
    <mergeCell ref="R237:S237"/>
    <mergeCell ref="B238:D238"/>
    <mergeCell ref="E238:H238"/>
    <mergeCell ref="J238:O238"/>
    <mergeCell ref="P238:S238"/>
    <mergeCell ref="T238:U238"/>
    <mergeCell ref="B239:D239"/>
    <mergeCell ref="E239:H239"/>
    <mergeCell ref="J239:O239"/>
    <mergeCell ref="P239:S239"/>
    <mergeCell ref="T239:U239"/>
    <mergeCell ref="B241:U241"/>
    <mergeCell ref="B242:U242"/>
    <mergeCell ref="B247:I248"/>
    <mergeCell ref="J247:K248"/>
    <mergeCell ref="L247:O247"/>
    <mergeCell ref="P247:S247"/>
    <mergeCell ref="T247:U248"/>
    <mergeCell ref="L248:M248"/>
    <mergeCell ref="N248:O248"/>
    <mergeCell ref="P248:Q248"/>
    <mergeCell ref="R248:S248"/>
    <mergeCell ref="B249:I249"/>
    <mergeCell ref="J249:K249"/>
    <mergeCell ref="L249:M249"/>
    <mergeCell ref="N249:O249"/>
    <mergeCell ref="P249:Q249"/>
    <mergeCell ref="R249:S249"/>
    <mergeCell ref="T249:U249"/>
    <mergeCell ref="B250:S250"/>
    <mergeCell ref="T250:U250"/>
    <mergeCell ref="B251:S251"/>
    <mergeCell ref="T251:U251"/>
    <mergeCell ref="B252:I252"/>
    <mergeCell ref="J252:K252"/>
    <mergeCell ref="L252:M252"/>
    <mergeCell ref="N252:O252"/>
    <mergeCell ref="P252:Q252"/>
    <mergeCell ref="R252:S252"/>
    <mergeCell ref="T252:U252"/>
    <mergeCell ref="B253:S253"/>
    <mergeCell ref="T253:U253"/>
    <mergeCell ref="B254:S254"/>
    <mergeCell ref="T254:U254"/>
    <mergeCell ref="O256:S256"/>
    <mergeCell ref="T256:U256"/>
    <mergeCell ref="B258:U258"/>
    <mergeCell ref="B259:U259"/>
    <mergeCell ref="B262:F263"/>
    <mergeCell ref="G262:G263"/>
    <mergeCell ref="H262:M262"/>
    <mergeCell ref="N262:S262"/>
    <mergeCell ref="T262:U263"/>
    <mergeCell ref="H263:I263"/>
    <mergeCell ref="J263:K263"/>
    <mergeCell ref="L263:M263"/>
    <mergeCell ref="N263:O263"/>
    <mergeCell ref="P263:Q263"/>
    <mergeCell ref="R263:S263"/>
    <mergeCell ref="B264:F264"/>
    <mergeCell ref="H264:I264"/>
    <mergeCell ref="J264:K264"/>
    <mergeCell ref="L264:M264"/>
    <mergeCell ref="N264:O264"/>
    <mergeCell ref="P264:Q264"/>
    <mergeCell ref="R264:S264"/>
    <mergeCell ref="T264:U264"/>
    <mergeCell ref="B265:S265"/>
    <mergeCell ref="T265:U265"/>
    <mergeCell ref="B266:S266"/>
    <mergeCell ref="T266:U266"/>
    <mergeCell ref="B268:U268"/>
    <mergeCell ref="B269:U269"/>
    <mergeCell ref="B272:I273"/>
    <mergeCell ref="J272:K273"/>
    <mergeCell ref="L272:O272"/>
    <mergeCell ref="P272:S272"/>
    <mergeCell ref="T272:U273"/>
    <mergeCell ref="L273:M273"/>
    <mergeCell ref="N273:O273"/>
    <mergeCell ref="P273:Q273"/>
    <mergeCell ref="R273:S273"/>
    <mergeCell ref="B274:I274"/>
    <mergeCell ref="J274:K274"/>
    <mergeCell ref="L274:M274"/>
    <mergeCell ref="N274:O274"/>
    <mergeCell ref="P274:Q274"/>
    <mergeCell ref="R274:S274"/>
    <mergeCell ref="T274:U274"/>
    <mergeCell ref="B275:S275"/>
    <mergeCell ref="T275:U275"/>
    <mergeCell ref="B276:S276"/>
    <mergeCell ref="T276:U276"/>
    <mergeCell ref="B278:U278"/>
    <mergeCell ref="B279:U279"/>
    <mergeCell ref="B282:F283"/>
    <mergeCell ref="G282:G283"/>
    <mergeCell ref="H282:M282"/>
    <mergeCell ref="N282:S282"/>
    <mergeCell ref="T282:U283"/>
    <mergeCell ref="H283:I283"/>
    <mergeCell ref="J283:K283"/>
    <mergeCell ref="L283:M283"/>
    <mergeCell ref="N283:O283"/>
    <mergeCell ref="P283:Q283"/>
    <mergeCell ref="R283:S283"/>
    <mergeCell ref="B284:F284"/>
    <mergeCell ref="H284:I284"/>
    <mergeCell ref="J284:K284"/>
    <mergeCell ref="L284:M284"/>
    <mergeCell ref="N284:O284"/>
    <mergeCell ref="P284:Q284"/>
    <mergeCell ref="R284:S284"/>
    <mergeCell ref="T284:U284"/>
    <mergeCell ref="B285:S285"/>
    <mergeCell ref="T285:U285"/>
    <mergeCell ref="B286:S286"/>
    <mergeCell ref="T286:U286"/>
    <mergeCell ref="B288:U288"/>
    <mergeCell ref="B289:U289"/>
    <mergeCell ref="B291:T291"/>
  </mergeCells>
  <printOptions/>
  <pageMargins left="0.7875" right="0.5902777777777778" top="0.5513888888888889" bottom="0.4722222222222222" header="0.5118055555555555" footer="0.19652777777777777"/>
  <pageSetup horizontalDpi="300" verticalDpi="300" orientation="portrait" paperSize="9"/>
  <headerFooter alignWithMargins="0">
    <oddFooter>&amp;C&amp;8Seite &amp;P</oddFooter>
  </headerFooter>
  <rowBreaks count="4" manualBreakCount="4">
    <brk id="63" max="255" man="1"/>
    <brk id="114" max="255" man="1"/>
    <brk id="158" max="255" man="1"/>
    <brk id="243" max="255" man="1"/>
  </rowBreaks>
  <drawing r:id="rId1"/>
</worksheet>
</file>

<file path=xl/worksheets/sheet11.xml><?xml version="1.0" encoding="utf-8"?>
<worksheet xmlns="http://schemas.openxmlformats.org/spreadsheetml/2006/main" xmlns:r="http://schemas.openxmlformats.org/officeDocument/2006/relationships">
  <sheetPr>
    <tabColor indexed="13"/>
  </sheetPr>
  <dimension ref="A1:EY4"/>
  <sheetViews>
    <sheetView workbookViewId="0" topLeftCell="E1">
      <selection activeCell="K2" sqref="K2"/>
    </sheetView>
  </sheetViews>
  <sheetFormatPr defaultColWidth="9.140625" defaultRowHeight="12.75"/>
  <cols>
    <col min="1" max="2" width="11.421875" style="0" customWidth="1"/>
    <col min="3" max="3" width="12.57421875" style="0" customWidth="1"/>
    <col min="4" max="7" width="11.421875" style="0" customWidth="1"/>
    <col min="8" max="8" width="18.421875" style="0" customWidth="1"/>
    <col min="9" max="11" width="11.421875" style="0" customWidth="1"/>
    <col min="12" max="12" width="12.421875" style="0" customWidth="1"/>
    <col min="13" max="13" width="15.7109375" style="0" customWidth="1"/>
    <col min="14" max="15" width="11.421875" style="0" customWidth="1"/>
    <col min="16" max="16" width="13.8515625" style="0" customWidth="1"/>
    <col min="18" max="18" width="8.57421875" style="0" customWidth="1"/>
    <col min="19" max="19" width="8.421875" style="0" customWidth="1"/>
    <col min="21" max="21" width="7.421875" style="0" customWidth="1"/>
    <col min="22" max="22" width="8.140625" style="0" customWidth="1"/>
    <col min="23" max="23" width="8.8515625" style="0" customWidth="1"/>
    <col min="25" max="25" width="7.57421875" style="0" customWidth="1"/>
    <col min="26" max="27" width="11.421875" style="0" customWidth="1"/>
    <col min="28" max="28" width="14.57421875" style="0" customWidth="1"/>
    <col min="29" max="29" width="19.57421875" style="0" customWidth="1"/>
    <col min="30" max="30" width="11.421875" style="0" customWidth="1"/>
    <col min="31" max="31" width="15.57421875" style="0" customWidth="1"/>
    <col min="32" max="32" width="14.00390625" style="0" customWidth="1"/>
    <col min="33" max="35" width="11.421875" style="0" customWidth="1"/>
    <col min="36" max="36" width="13.57421875" style="0" customWidth="1"/>
    <col min="37" max="39" width="11.421875" style="0" customWidth="1"/>
    <col min="40" max="40" width="13.57421875" style="0" customWidth="1"/>
    <col min="41" max="43" width="11.421875" style="0" customWidth="1"/>
    <col min="44" max="44" width="14.421875" style="0" customWidth="1"/>
    <col min="45" max="45" width="16.7109375" style="0" customWidth="1"/>
    <col min="46" max="46" width="13.00390625" style="0" customWidth="1"/>
    <col min="47" max="47" width="11.421875" style="0" customWidth="1"/>
    <col min="48" max="48" width="14.7109375" style="0" customWidth="1"/>
    <col min="49" max="49" width="11.421875" style="0" customWidth="1"/>
    <col min="50" max="50" width="13.7109375" style="0" customWidth="1"/>
    <col min="51" max="51" width="14.7109375" style="0" customWidth="1"/>
    <col min="52" max="56" width="11.421875" style="0" customWidth="1"/>
    <col min="57" max="57" width="12.57421875" style="0" customWidth="1"/>
    <col min="58" max="99" width="11.421875" style="0" customWidth="1"/>
    <col min="100" max="100" width="14.28125" style="0" customWidth="1"/>
    <col min="101" max="109" width="11.421875" style="0" customWidth="1"/>
    <col min="110" max="110" width="13.421875" style="0" customWidth="1"/>
    <col min="111" max="118" width="11.421875" style="0" customWidth="1"/>
    <col min="119" max="119" width="16.57421875" style="0" customWidth="1"/>
    <col min="120" max="147" width="11.421875" style="0" customWidth="1"/>
    <col min="148" max="148" width="15.8515625" style="0" customWidth="1"/>
    <col min="149" max="149" width="13.57421875" style="0" customWidth="1"/>
    <col min="150" max="150" width="14.421875" style="0" customWidth="1"/>
    <col min="151" max="16384" width="11.421875" style="0" customWidth="1"/>
  </cols>
  <sheetData>
    <row r="1" spans="1:155" ht="51.75" customHeight="1">
      <c r="A1" s="869" t="s">
        <v>723</v>
      </c>
      <c r="B1" s="869"/>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869"/>
      <c r="AN1" s="869"/>
      <c r="AO1" s="869"/>
      <c r="AP1" s="869"/>
      <c r="AQ1" s="869"/>
      <c r="AR1" s="869"/>
      <c r="AS1" s="869"/>
      <c r="AT1" s="869"/>
      <c r="AU1" s="869"/>
      <c r="AV1" s="869"/>
      <c r="AW1" s="869"/>
      <c r="AX1" s="869"/>
      <c r="AY1" s="869"/>
      <c r="AZ1" s="869"/>
      <c r="BA1" s="869"/>
      <c r="BB1" s="869"/>
      <c r="BC1" s="870" t="s">
        <v>622</v>
      </c>
      <c r="BD1" s="870"/>
      <c r="BE1" s="870"/>
      <c r="BF1" s="870"/>
      <c r="BG1" s="870"/>
      <c r="BH1" s="870"/>
      <c r="BI1" s="870"/>
      <c r="BJ1" s="870"/>
      <c r="BK1" s="870"/>
      <c r="BL1" s="871" t="s">
        <v>724</v>
      </c>
      <c r="BM1" s="871"/>
      <c r="BN1" s="871"/>
      <c r="BO1" s="871"/>
      <c r="BP1" s="871"/>
      <c r="BQ1" s="871"/>
      <c r="BR1" s="872" t="s">
        <v>725</v>
      </c>
      <c r="BS1" s="872"/>
      <c r="BT1" s="872"/>
      <c r="BU1" s="872"/>
      <c r="BV1" s="872"/>
      <c r="BW1" s="872"/>
      <c r="BX1" s="872"/>
      <c r="BY1" s="873" t="s">
        <v>726</v>
      </c>
      <c r="BZ1" s="873"/>
      <c r="CA1" s="873"/>
      <c r="CB1" s="873"/>
      <c r="CC1" s="873"/>
      <c r="CD1" s="874" t="s">
        <v>727</v>
      </c>
      <c r="CE1" s="874"/>
      <c r="CF1" s="874"/>
      <c r="CG1" s="874"/>
      <c r="CH1" s="874"/>
      <c r="CI1" s="875" t="s">
        <v>728</v>
      </c>
      <c r="CJ1" s="875"/>
      <c r="CK1" s="875"/>
      <c r="CL1" s="875"/>
      <c r="CM1" s="875"/>
      <c r="CN1" s="875"/>
      <c r="CO1" s="875"/>
      <c r="CP1" s="875"/>
      <c r="CQ1" s="875"/>
      <c r="CR1" s="875"/>
      <c r="CS1" s="875"/>
      <c r="CT1" s="875"/>
      <c r="CU1" s="876" t="s">
        <v>504</v>
      </c>
      <c r="CV1" s="876"/>
      <c r="CW1" s="876"/>
      <c r="CX1" s="876"/>
      <c r="CY1" s="876"/>
      <c r="CZ1" s="876"/>
      <c r="DA1" s="876"/>
      <c r="DB1" s="876"/>
      <c r="DC1" s="876"/>
      <c r="DD1" s="876"/>
      <c r="DE1" s="876"/>
      <c r="DF1" s="876"/>
      <c r="DG1" s="876"/>
      <c r="DH1" s="876"/>
      <c r="DI1" s="876"/>
      <c r="DJ1" s="876"/>
      <c r="DK1" s="876"/>
      <c r="DL1" s="877" t="s">
        <v>543</v>
      </c>
      <c r="DM1" s="877"/>
      <c r="DN1" s="877"/>
      <c r="DO1" s="877"/>
      <c r="DP1" s="877"/>
      <c r="DQ1" s="877"/>
      <c r="DR1" s="877"/>
      <c r="DS1" s="877"/>
      <c r="DT1" s="877"/>
      <c r="DU1" s="877"/>
      <c r="DV1" s="877"/>
      <c r="DW1" s="877"/>
      <c r="DX1" s="877"/>
      <c r="DY1" s="877"/>
      <c r="DZ1" s="877"/>
      <c r="EA1" s="877"/>
      <c r="EB1" s="877"/>
      <c r="EC1" s="877"/>
      <c r="ED1" s="877"/>
      <c r="EE1" s="877"/>
      <c r="EF1" s="877"/>
      <c r="EG1" s="877"/>
      <c r="EH1" s="877"/>
      <c r="EI1" s="877"/>
      <c r="EJ1" s="877"/>
      <c r="EK1" s="877"/>
      <c r="EL1" s="877"/>
      <c r="EM1" s="877"/>
      <c r="EN1" s="877"/>
      <c r="EO1" s="877"/>
      <c r="EP1" s="877"/>
      <c r="EQ1" s="877"/>
      <c r="ER1" s="877"/>
      <c r="ES1" s="877"/>
      <c r="ET1" s="877"/>
      <c r="EU1" s="877"/>
      <c r="EV1" s="877"/>
      <c r="EW1" s="877"/>
      <c r="EX1" s="877"/>
      <c r="EY1" s="877"/>
    </row>
    <row r="2" spans="1:155" ht="78.75" customHeight="1">
      <c r="A2" s="878" t="s">
        <v>31</v>
      </c>
      <c r="B2" s="878" t="s">
        <v>10</v>
      </c>
      <c r="C2" s="878" t="s">
        <v>729</v>
      </c>
      <c r="D2" s="878" t="s">
        <v>730</v>
      </c>
      <c r="E2" s="878" t="s">
        <v>731</v>
      </c>
      <c r="F2" s="878" t="s">
        <v>732</v>
      </c>
      <c r="G2" s="878" t="s">
        <v>733</v>
      </c>
      <c r="H2" s="878" t="s">
        <v>734</v>
      </c>
      <c r="I2" s="878" t="s">
        <v>735</v>
      </c>
      <c r="J2" s="878" t="s">
        <v>736</v>
      </c>
      <c r="K2" s="878" t="s">
        <v>737</v>
      </c>
      <c r="L2" s="878" t="s">
        <v>738</v>
      </c>
      <c r="M2" s="878" t="s">
        <v>91</v>
      </c>
      <c r="N2" s="878" t="s">
        <v>739</v>
      </c>
      <c r="O2" s="878" t="s">
        <v>740</v>
      </c>
      <c r="P2" s="878" t="s">
        <v>741</v>
      </c>
      <c r="Q2" s="879" t="s">
        <v>742</v>
      </c>
      <c r="R2" s="879"/>
      <c r="S2" s="879"/>
      <c r="T2" s="879" t="s">
        <v>743</v>
      </c>
      <c r="U2" s="879"/>
      <c r="V2" s="879"/>
      <c r="W2" s="879" t="s">
        <v>744</v>
      </c>
      <c r="X2" s="879"/>
      <c r="Y2" s="879"/>
      <c r="Z2" s="878" t="s">
        <v>76</v>
      </c>
      <c r="AA2" s="878" t="s">
        <v>670</v>
      </c>
      <c r="AB2" s="878" t="s">
        <v>745</v>
      </c>
      <c r="AC2" s="878" t="s">
        <v>746</v>
      </c>
      <c r="AD2" s="878" t="s">
        <v>747</v>
      </c>
      <c r="AE2" s="878" t="s">
        <v>748</v>
      </c>
      <c r="AF2" s="878" t="s">
        <v>106</v>
      </c>
      <c r="AG2" s="878" t="s">
        <v>749</v>
      </c>
      <c r="AH2" s="878" t="s">
        <v>750</v>
      </c>
      <c r="AI2" s="878" t="s">
        <v>751</v>
      </c>
      <c r="AJ2" s="878" t="s">
        <v>752</v>
      </c>
      <c r="AK2" s="878" t="s">
        <v>135</v>
      </c>
      <c r="AL2" s="878" t="s">
        <v>136</v>
      </c>
      <c r="AM2" s="878" t="s">
        <v>753</v>
      </c>
      <c r="AN2" s="878" t="s">
        <v>754</v>
      </c>
      <c r="AO2" s="878" t="s">
        <v>755</v>
      </c>
      <c r="AP2" s="878" t="s">
        <v>756</v>
      </c>
      <c r="AQ2" s="878" t="s">
        <v>757</v>
      </c>
      <c r="AR2" s="878" t="s">
        <v>242</v>
      </c>
      <c r="AS2" s="878" t="s">
        <v>758</v>
      </c>
      <c r="AT2" s="878" t="s">
        <v>759</v>
      </c>
      <c r="AU2" s="878" t="s">
        <v>760</v>
      </c>
      <c r="AV2" s="878" t="s">
        <v>761</v>
      </c>
      <c r="AW2" s="878" t="s">
        <v>762</v>
      </c>
      <c r="AX2" s="878" t="s">
        <v>763</v>
      </c>
      <c r="AY2" s="878" t="s">
        <v>764</v>
      </c>
      <c r="AZ2" s="878" t="s">
        <v>765</v>
      </c>
      <c r="BA2" s="878" t="s">
        <v>766</v>
      </c>
      <c r="BB2" s="878" t="s">
        <v>767</v>
      </c>
      <c r="BC2" s="880" t="s">
        <v>768</v>
      </c>
      <c r="BD2" s="880" t="s">
        <v>633</v>
      </c>
      <c r="BE2" s="880" t="s">
        <v>769</v>
      </c>
      <c r="BF2" s="880" t="s">
        <v>770</v>
      </c>
      <c r="BG2" s="880" t="s">
        <v>771</v>
      </c>
      <c r="BH2" s="880" t="s">
        <v>772</v>
      </c>
      <c r="BI2" s="880" t="s">
        <v>773</v>
      </c>
      <c r="BJ2" s="880" t="s">
        <v>774</v>
      </c>
      <c r="BK2" s="880" t="s">
        <v>775</v>
      </c>
      <c r="BL2" s="881" t="s">
        <v>776</v>
      </c>
      <c r="BM2" s="881" t="s">
        <v>777</v>
      </c>
      <c r="BN2" s="881" t="s">
        <v>778</v>
      </c>
      <c r="BO2" s="881" t="s">
        <v>778</v>
      </c>
      <c r="BP2" s="881" t="s">
        <v>779</v>
      </c>
      <c r="BQ2" s="881" t="s">
        <v>780</v>
      </c>
      <c r="BR2" s="881" t="s">
        <v>781</v>
      </c>
      <c r="BS2" s="880" t="s">
        <v>782</v>
      </c>
      <c r="BT2" s="881" t="s">
        <v>783</v>
      </c>
      <c r="BU2" s="881" t="s">
        <v>784</v>
      </c>
      <c r="BV2" s="881" t="s">
        <v>784</v>
      </c>
      <c r="BW2" s="881" t="s">
        <v>785</v>
      </c>
      <c r="BX2" s="881" t="s">
        <v>780</v>
      </c>
      <c r="BY2" s="881" t="s">
        <v>786</v>
      </c>
      <c r="BZ2" s="881" t="s">
        <v>787</v>
      </c>
      <c r="CA2" s="881" t="s">
        <v>369</v>
      </c>
      <c r="CB2" s="881" t="s">
        <v>788</v>
      </c>
      <c r="CC2" s="881" t="s">
        <v>369</v>
      </c>
      <c r="CD2" s="881" t="s">
        <v>789</v>
      </c>
      <c r="CE2" s="881" t="s">
        <v>790</v>
      </c>
      <c r="CF2" s="881" t="s">
        <v>791</v>
      </c>
      <c r="CG2" s="881" t="s">
        <v>792</v>
      </c>
      <c r="CH2" s="881" t="s">
        <v>793</v>
      </c>
      <c r="CI2" s="881" t="s">
        <v>794</v>
      </c>
      <c r="CJ2" s="881" t="s">
        <v>794</v>
      </c>
      <c r="CK2" s="881" t="s">
        <v>794</v>
      </c>
      <c r="CL2" s="881" t="s">
        <v>575</v>
      </c>
      <c r="CM2" s="881" t="s">
        <v>575</v>
      </c>
      <c r="CN2" s="881" t="s">
        <v>628</v>
      </c>
      <c r="CO2" s="881" t="s">
        <v>628</v>
      </c>
      <c r="CP2" s="881" t="s">
        <v>628</v>
      </c>
      <c r="CQ2" s="881" t="s">
        <v>789</v>
      </c>
      <c r="CR2" s="881" t="s">
        <v>791</v>
      </c>
      <c r="CS2" s="881" t="s">
        <v>792</v>
      </c>
      <c r="CT2" s="881" t="s">
        <v>793</v>
      </c>
      <c r="CU2" s="880" t="s">
        <v>795</v>
      </c>
      <c r="CV2" s="880" t="s">
        <v>796</v>
      </c>
      <c r="CW2" s="882" t="s">
        <v>797</v>
      </c>
      <c r="CX2" s="882"/>
      <c r="CY2" s="882"/>
      <c r="CZ2" s="882"/>
      <c r="DA2" s="882"/>
      <c r="DB2" s="882"/>
      <c r="DC2" s="882"/>
      <c r="DD2" s="882"/>
      <c r="DE2" s="882"/>
      <c r="DF2" s="883" t="s">
        <v>798</v>
      </c>
      <c r="DG2" s="882" t="s">
        <v>799</v>
      </c>
      <c r="DH2" s="882"/>
      <c r="DI2" s="882"/>
      <c r="DJ2" s="882"/>
      <c r="DK2" s="882"/>
      <c r="DL2" s="883" t="s">
        <v>800</v>
      </c>
      <c r="DM2" s="884" t="s">
        <v>801</v>
      </c>
      <c r="DN2" s="880" t="s">
        <v>802</v>
      </c>
      <c r="DO2" s="880" t="s">
        <v>803</v>
      </c>
      <c r="DP2" s="882" t="s">
        <v>804</v>
      </c>
      <c r="DQ2" s="882"/>
      <c r="DR2" s="882"/>
      <c r="DS2" s="882"/>
      <c r="DT2" s="882"/>
      <c r="DU2" s="882"/>
      <c r="DV2" s="882" t="s">
        <v>805</v>
      </c>
      <c r="DW2" s="882"/>
      <c r="DX2" s="882"/>
      <c r="DY2" s="882"/>
      <c r="DZ2" s="882"/>
      <c r="EA2" s="882"/>
      <c r="EB2" s="882"/>
      <c r="EC2" s="882"/>
      <c r="ED2" s="882" t="s">
        <v>806</v>
      </c>
      <c r="EE2" s="882"/>
      <c r="EF2" s="882"/>
      <c r="EG2" s="882"/>
      <c r="EH2" s="882" t="s">
        <v>807</v>
      </c>
      <c r="EI2" s="882"/>
      <c r="EJ2" s="882"/>
      <c r="EK2" s="882"/>
      <c r="EL2" s="882" t="s">
        <v>808</v>
      </c>
      <c r="EM2" s="882"/>
      <c r="EN2" s="882"/>
      <c r="EO2" s="882"/>
      <c r="EP2" s="882"/>
      <c r="EQ2" s="882"/>
      <c r="ER2" s="880" t="s">
        <v>809</v>
      </c>
      <c r="ES2" s="885" t="s">
        <v>810</v>
      </c>
      <c r="ET2" s="880" t="s">
        <v>811</v>
      </c>
      <c r="EU2" s="882" t="s">
        <v>812</v>
      </c>
      <c r="EV2" s="882"/>
      <c r="EW2" s="882"/>
      <c r="EX2" s="882"/>
      <c r="EY2" s="882"/>
    </row>
    <row r="3" spans="1:155" ht="42.75">
      <c r="A3" s="886"/>
      <c r="B3" s="886"/>
      <c r="C3" s="886"/>
      <c r="D3" s="886"/>
      <c r="E3" s="886"/>
      <c r="F3" s="886"/>
      <c r="G3" s="886"/>
      <c r="H3" s="886"/>
      <c r="I3" s="886"/>
      <c r="J3" s="886"/>
      <c r="K3" s="886"/>
      <c r="L3" s="886"/>
      <c r="M3" s="886"/>
      <c r="N3" s="886" t="s">
        <v>468</v>
      </c>
      <c r="O3" s="886"/>
      <c r="P3" s="886"/>
      <c r="Q3" s="886" t="s">
        <v>118</v>
      </c>
      <c r="R3" s="886" t="s">
        <v>119</v>
      </c>
      <c r="S3" s="886" t="s">
        <v>120</v>
      </c>
      <c r="T3" s="886" t="s">
        <v>118</v>
      </c>
      <c r="U3" s="886" t="s">
        <v>119</v>
      </c>
      <c r="V3" s="886" t="s">
        <v>120</v>
      </c>
      <c r="W3" s="886" t="s">
        <v>118</v>
      </c>
      <c r="X3" s="886" t="s">
        <v>119</v>
      </c>
      <c r="Y3" s="886" t="s">
        <v>120</v>
      </c>
      <c r="Z3" s="886"/>
      <c r="AA3" s="886"/>
      <c r="AB3" s="886"/>
      <c r="AC3" s="886"/>
      <c r="AD3" s="886"/>
      <c r="AE3" s="886"/>
      <c r="AF3" s="886"/>
      <c r="AG3" s="886"/>
      <c r="AH3" s="886"/>
      <c r="AI3" s="886"/>
      <c r="AJ3" s="886"/>
      <c r="AK3" s="886"/>
      <c r="AL3" s="886"/>
      <c r="AM3" s="886"/>
      <c r="AN3" s="886"/>
      <c r="AO3" s="886"/>
      <c r="AP3" s="886"/>
      <c r="AQ3" s="886"/>
      <c r="AR3" s="886"/>
      <c r="AS3" s="886"/>
      <c r="AT3" s="886"/>
      <c r="AU3" s="886"/>
      <c r="AV3" s="886"/>
      <c r="AW3" s="886"/>
      <c r="AX3" s="886"/>
      <c r="AY3" s="886"/>
      <c r="AZ3" s="886"/>
      <c r="BA3" s="886"/>
      <c r="BB3" s="886"/>
      <c r="BC3" s="887" t="s">
        <v>813</v>
      </c>
      <c r="BD3" s="887" t="s">
        <v>814</v>
      </c>
      <c r="BE3" s="887" t="s">
        <v>814</v>
      </c>
      <c r="BF3" s="887" t="s">
        <v>814</v>
      </c>
      <c r="BG3" s="887" t="s">
        <v>814</v>
      </c>
      <c r="BH3" s="887" t="s">
        <v>444</v>
      </c>
      <c r="BI3" s="887" t="s">
        <v>444</v>
      </c>
      <c r="BJ3" s="888" t="s">
        <v>815</v>
      </c>
      <c r="BK3" s="887" t="s">
        <v>814</v>
      </c>
      <c r="BL3" s="887" t="s">
        <v>816</v>
      </c>
      <c r="BM3" s="887" t="s">
        <v>817</v>
      </c>
      <c r="BN3" s="887" t="s">
        <v>816</v>
      </c>
      <c r="BO3" s="887" t="s">
        <v>818</v>
      </c>
      <c r="BP3" s="887" t="s">
        <v>819</v>
      </c>
      <c r="BQ3" s="887" t="s">
        <v>820</v>
      </c>
      <c r="BR3" s="887" t="s">
        <v>816</v>
      </c>
      <c r="BS3" s="887" t="s">
        <v>821</v>
      </c>
      <c r="BT3" s="887" t="s">
        <v>817</v>
      </c>
      <c r="BU3" s="887" t="s">
        <v>816</v>
      </c>
      <c r="BV3" s="887" t="s">
        <v>818</v>
      </c>
      <c r="BW3" s="887" t="s">
        <v>819</v>
      </c>
      <c r="BX3" s="887" t="s">
        <v>820</v>
      </c>
      <c r="BY3" s="887" t="s">
        <v>822</v>
      </c>
      <c r="BZ3" s="887" t="s">
        <v>823</v>
      </c>
      <c r="CA3" s="887" t="s">
        <v>822</v>
      </c>
      <c r="CB3" s="887" t="s">
        <v>823</v>
      </c>
      <c r="CC3" s="887" t="s">
        <v>818</v>
      </c>
      <c r="CD3" s="887" t="s">
        <v>816</v>
      </c>
      <c r="CE3" s="887" t="s">
        <v>822</v>
      </c>
      <c r="CF3" s="887" t="s">
        <v>819</v>
      </c>
      <c r="CG3" s="887" t="s">
        <v>820</v>
      </c>
      <c r="CH3" s="887" t="s">
        <v>816</v>
      </c>
      <c r="CI3" s="887" t="s">
        <v>147</v>
      </c>
      <c r="CJ3" s="887" t="s">
        <v>813</v>
      </c>
      <c r="CK3" s="887" t="s">
        <v>824</v>
      </c>
      <c r="CL3" s="887" t="s">
        <v>373</v>
      </c>
      <c r="CM3" s="887" t="s">
        <v>813</v>
      </c>
      <c r="CN3" s="887" t="s">
        <v>147</v>
      </c>
      <c r="CO3" s="887" t="s">
        <v>813</v>
      </c>
      <c r="CP3" s="887" t="s">
        <v>824</v>
      </c>
      <c r="CQ3" s="887" t="s">
        <v>147</v>
      </c>
      <c r="CR3" s="887" t="s">
        <v>813</v>
      </c>
      <c r="CS3" s="887" t="s">
        <v>824</v>
      </c>
      <c r="CT3" s="887" t="s">
        <v>816</v>
      </c>
      <c r="CU3" s="889"/>
      <c r="CV3" s="889"/>
      <c r="CW3" s="890" t="s">
        <v>519</v>
      </c>
      <c r="CX3" s="890" t="s">
        <v>521</v>
      </c>
      <c r="CY3" s="890" t="s">
        <v>522</v>
      </c>
      <c r="CZ3" s="890" t="s">
        <v>523</v>
      </c>
      <c r="DA3" s="890" t="s">
        <v>524</v>
      </c>
      <c r="DB3" s="890" t="s">
        <v>525</v>
      </c>
      <c r="DC3" s="890" t="s">
        <v>526</v>
      </c>
      <c r="DD3" s="890" t="s">
        <v>527</v>
      </c>
      <c r="DE3" s="890" t="s">
        <v>528</v>
      </c>
      <c r="DF3" s="889"/>
      <c r="DG3" s="891" t="s">
        <v>532</v>
      </c>
      <c r="DH3" s="891" t="s">
        <v>534</v>
      </c>
      <c r="DI3" s="891" t="s">
        <v>536</v>
      </c>
      <c r="DJ3" s="891" t="s">
        <v>538</v>
      </c>
      <c r="DK3" s="891" t="s">
        <v>540</v>
      </c>
      <c r="DL3" s="892"/>
      <c r="DM3" s="892"/>
      <c r="DN3" s="892"/>
      <c r="DO3" s="892"/>
      <c r="DP3" s="891" t="s">
        <v>554</v>
      </c>
      <c r="DQ3" s="891" t="s">
        <v>825</v>
      </c>
      <c r="DR3" s="891" t="s">
        <v>556</v>
      </c>
      <c r="DS3" s="891" t="s">
        <v>557</v>
      </c>
      <c r="DT3" s="891" t="s">
        <v>558</v>
      </c>
      <c r="DU3" s="891" t="s">
        <v>16</v>
      </c>
      <c r="DV3" s="893" t="s">
        <v>560</v>
      </c>
      <c r="DW3" s="893" t="s">
        <v>561</v>
      </c>
      <c r="DX3" s="893" t="s">
        <v>562</v>
      </c>
      <c r="DY3" s="893" t="s">
        <v>563</v>
      </c>
      <c r="DZ3" s="893" t="s">
        <v>564</v>
      </c>
      <c r="EA3" s="893" t="s">
        <v>826</v>
      </c>
      <c r="EB3" s="893" t="s">
        <v>566</v>
      </c>
      <c r="EC3" s="893" t="s">
        <v>16</v>
      </c>
      <c r="ED3" s="893" t="s">
        <v>568</v>
      </c>
      <c r="EE3" s="893" t="s">
        <v>569</v>
      </c>
      <c r="EF3" s="893" t="s">
        <v>570</v>
      </c>
      <c r="EG3" s="893" t="s">
        <v>571</v>
      </c>
      <c r="EH3" s="892" t="s">
        <v>575</v>
      </c>
      <c r="EI3" s="892" t="s">
        <v>577</v>
      </c>
      <c r="EJ3" s="892" t="s">
        <v>579</v>
      </c>
      <c r="EK3" s="892" t="s">
        <v>581</v>
      </c>
      <c r="EL3" s="891" t="s">
        <v>585</v>
      </c>
      <c r="EM3" s="891" t="s">
        <v>827</v>
      </c>
      <c r="EN3" s="891" t="s">
        <v>587</v>
      </c>
      <c r="EO3" s="891" t="s">
        <v>588</v>
      </c>
      <c r="EP3" s="891" t="s">
        <v>828</v>
      </c>
      <c r="EQ3" s="891" t="s">
        <v>590</v>
      </c>
      <c r="ER3" s="892"/>
      <c r="ES3" s="892"/>
      <c r="ET3" s="892"/>
      <c r="EU3" s="894" t="s">
        <v>829</v>
      </c>
      <c r="EV3" s="894" t="s">
        <v>598</v>
      </c>
      <c r="EW3" s="894" t="s">
        <v>602</v>
      </c>
      <c r="EX3" s="894" t="s">
        <v>602</v>
      </c>
      <c r="EY3" s="894" t="s">
        <v>604</v>
      </c>
    </row>
    <row r="4" spans="1:155" ht="14.25">
      <c r="A4" s="895">
        <f>'Name+Adress'!Q12</f>
        <v>0</v>
      </c>
      <c r="B4" s="895">
        <f>'Name+Adress'!R7</f>
        <v>0</v>
      </c>
      <c r="C4" s="895">
        <f>'Name+Adress'!J15</f>
        <v>0</v>
      </c>
      <c r="D4" s="895">
        <f>'household+building'!G10</f>
        <v>0</v>
      </c>
      <c r="E4" s="895">
        <f>'household+building'!O10</f>
        <v>0</v>
      </c>
      <c r="F4" s="895">
        <f>'household+building'!G11</f>
        <v>0</v>
      </c>
      <c r="G4" s="895">
        <f>'household+building'!G12</f>
        <v>0</v>
      </c>
      <c r="H4" s="895">
        <f>'household+building'!G14</f>
        <v>0</v>
      </c>
      <c r="I4" s="895">
        <f>'household+building'!G17</f>
        <v>0</v>
      </c>
      <c r="J4" s="895">
        <f>'household+building'!G20</f>
        <v>0</v>
      </c>
      <c r="K4" s="895">
        <f>'household+building'!G21</f>
        <v>0</v>
      </c>
      <c r="L4" s="895">
        <f>'household+building'!G22</f>
        <v>0</v>
      </c>
      <c r="M4" s="895">
        <f>'household+building'!G23</f>
        <v>0</v>
      </c>
      <c r="N4" s="895">
        <f>'household+building'!G24</f>
        <v>0</v>
      </c>
      <c r="O4" s="895">
        <f>'household+building'!G25</f>
        <v>0</v>
      </c>
      <c r="P4" s="895">
        <f>'household+building'!G26</f>
        <v>0</v>
      </c>
      <c r="Q4" s="895">
        <f>'household+building'!E29</f>
        <v>0</v>
      </c>
      <c r="R4" s="895">
        <f>'household+building'!F29</f>
        <v>0</v>
      </c>
      <c r="S4" s="895">
        <f>'household+building'!G29</f>
        <v>0</v>
      </c>
      <c r="T4" s="895">
        <f>'household+building'!E30</f>
        <v>0</v>
      </c>
      <c r="U4" s="895">
        <f>'household+building'!F30</f>
        <v>0</v>
      </c>
      <c r="V4" s="895">
        <f>'household+building'!G30</f>
        <v>0</v>
      </c>
      <c r="W4" s="895">
        <f>'household+building'!E31</f>
        <v>0</v>
      </c>
      <c r="X4" s="895">
        <f>'household+building'!F31</f>
        <v>0</v>
      </c>
      <c r="Y4" s="895">
        <f>'household+building'!G31</f>
        <v>0</v>
      </c>
      <c r="Z4" s="895">
        <f>'household+building'!P20</f>
        <v>0</v>
      </c>
      <c r="AA4" s="895">
        <f>'household+building'!P21</f>
        <v>0</v>
      </c>
      <c r="AB4" s="895">
        <f>'household+building'!P22</f>
        <v>0</v>
      </c>
      <c r="AC4" s="895">
        <f>'household+building'!P23</f>
        <v>0</v>
      </c>
      <c r="AD4" s="895">
        <f>'household+building'!P24</f>
        <v>0</v>
      </c>
      <c r="AE4" s="895">
        <f>'household+building'!P25</f>
        <v>0</v>
      </c>
      <c r="AF4" s="895">
        <f>'household+building'!P26</f>
        <v>0</v>
      </c>
      <c r="AG4" s="895">
        <f>'household+building'!P27</f>
        <v>0</v>
      </c>
      <c r="AH4" s="895">
        <f>'household+building'!P29</f>
        <v>0</v>
      </c>
      <c r="AI4" s="895">
        <f>'household+building'!P30</f>
        <v>0</v>
      </c>
      <c r="AJ4" s="895">
        <f>'household+building'!P31</f>
        <v>0</v>
      </c>
      <c r="AK4" s="895">
        <f>'household+building'!G35</f>
        <v>0</v>
      </c>
      <c r="AL4" s="895">
        <f>'household+building'!G36</f>
        <v>0</v>
      </c>
      <c r="AM4" s="895">
        <f>'household+building'!H85</f>
        <v>0</v>
      </c>
      <c r="AN4" s="895">
        <f>'household+building'!P86</f>
        <v>0</v>
      </c>
      <c r="AO4" s="895">
        <f>'household+building'!H87</f>
        <v>0</v>
      </c>
      <c r="AP4" s="895">
        <f>'household+building'!G105</f>
        <v>0</v>
      </c>
      <c r="AQ4" s="895">
        <f>'household+building'!G106</f>
        <v>0</v>
      </c>
      <c r="AR4" s="895">
        <f>'household+building'!G109</f>
        <v>0</v>
      </c>
      <c r="AS4" s="895">
        <f>'household+building'!L111</f>
        <v>0</v>
      </c>
      <c r="AT4" s="895">
        <f>'household+building'!F112</f>
        <v>0</v>
      </c>
      <c r="AU4" s="895">
        <f>heating!L16</f>
        <v>0</v>
      </c>
      <c r="AV4" s="895">
        <f>heating!L17</f>
        <v>0</v>
      </c>
      <c r="AW4" s="895">
        <f>heating!L18</f>
        <v>0</v>
      </c>
      <c r="AX4" s="895">
        <f>heating!L19</f>
        <v>0</v>
      </c>
      <c r="AY4" s="895">
        <f>heating!L20</f>
        <v>0</v>
      </c>
      <c r="AZ4" s="895">
        <f>heating!G26</f>
        <v>0</v>
      </c>
      <c r="BA4" s="895">
        <f>heating!G72</f>
        <v>0</v>
      </c>
      <c r="BB4" s="895">
        <f>heating!F161</f>
        <v>0</v>
      </c>
      <c r="BC4" s="896">
        <f>'overview results'!C38</f>
        <v>0</v>
      </c>
      <c r="BD4" s="897">
        <f>'overview results'!B15</f>
        <v>0</v>
      </c>
      <c r="BE4" s="896">
        <f>'overview results'!B19</f>
        <v>0</v>
      </c>
      <c r="BF4" s="896">
        <f>'overview results'!B23</f>
        <v>0</v>
      </c>
      <c r="BG4" s="896">
        <f>'overview results'!B24</f>
        <v>0</v>
      </c>
      <c r="BH4" s="896">
        <f>heating!H40</f>
        <v>0</v>
      </c>
      <c r="BI4" s="896">
        <f>'overview results'!B29</f>
        <v>0</v>
      </c>
      <c r="BJ4" s="896">
        <f>'overview results'!B30</f>
        <v>0</v>
      </c>
      <c r="BK4" s="896">
        <f>'overview results'!B35</f>
        <v>0</v>
      </c>
      <c r="BL4" s="895">
        <f>report!F35</f>
        <v>0</v>
      </c>
      <c r="BM4" s="898">
        <f>'household+building'!F38</f>
        <v>0</v>
      </c>
      <c r="BN4" s="895">
        <f>report!F40</f>
        <v>0</v>
      </c>
      <c r="BO4" s="899" t="e">
        <f>(BN4/BL4)*1</f>
        <v>#VALUE!</v>
      </c>
      <c r="BP4" s="900">
        <f>BM4*BN4</f>
        <v>0</v>
      </c>
      <c r="BQ4" s="900">
        <f>'overview results'!F38</f>
        <v>0</v>
      </c>
      <c r="BR4" s="895">
        <f>report!N35</f>
        <v>0</v>
      </c>
      <c r="BS4" s="896">
        <f>'household+building'!Q92</f>
        <v>0</v>
      </c>
      <c r="BT4" s="898">
        <f>'household+building'!H83</f>
        <v>0</v>
      </c>
      <c r="BU4" s="900">
        <f>report!N40</f>
        <v>0</v>
      </c>
      <c r="BV4" s="899" t="e">
        <f>(BU4/BR4)*1</f>
        <v>#VALUE!</v>
      </c>
      <c r="BW4" s="900">
        <f>BT4*BU4</f>
        <v>0</v>
      </c>
      <c r="BX4" s="898">
        <f>'overview results'!K38</f>
        <v>0</v>
      </c>
      <c r="BY4" s="895">
        <f>report!J35</f>
        <v>0</v>
      </c>
      <c r="BZ4" s="900">
        <f>'household+building'!F62</f>
        <v>0</v>
      </c>
      <c r="CA4" s="900">
        <f>report!J40</f>
        <v>0</v>
      </c>
      <c r="CB4" s="900">
        <f>BZ4*CA4</f>
        <v>0</v>
      </c>
      <c r="CC4" s="899" t="e">
        <f>(CA4/BY4)*1</f>
        <v>#VALUE!</v>
      </c>
      <c r="CD4" s="900">
        <f>report!F40+report!N40</f>
        <v>0</v>
      </c>
      <c r="CE4" s="900">
        <f>CA4</f>
        <v>0</v>
      </c>
      <c r="CF4" s="900">
        <f>report!H24</f>
        <v>0</v>
      </c>
      <c r="CG4" s="900">
        <f>report!J25</f>
        <v>0</v>
      </c>
      <c r="CH4" s="898">
        <f>'overview results'!W9</f>
        <v>0</v>
      </c>
      <c r="CI4" s="901">
        <f>'overview results'!O38</f>
        <v>0</v>
      </c>
      <c r="CJ4" s="901">
        <f>'overview results'!P38</f>
        <v>0</v>
      </c>
      <c r="CK4" s="901">
        <f>'overview results'!Q38</f>
        <v>0</v>
      </c>
      <c r="CL4" s="901">
        <f>'overview results'!R38</f>
        <v>0</v>
      </c>
      <c r="CM4" s="901">
        <f>'overview results'!S38</f>
        <v>0</v>
      </c>
      <c r="CN4" s="901">
        <f>'overview results'!T38</f>
        <v>0</v>
      </c>
      <c r="CO4" s="901">
        <f>'overview results'!U38</f>
        <v>0</v>
      </c>
      <c r="CP4" s="901">
        <f>'overview results'!V38</f>
        <v>0</v>
      </c>
      <c r="CQ4" s="901">
        <f>CI4+CN4</f>
        <v>0</v>
      </c>
      <c r="CR4" s="901">
        <f>'overview results'!W38</f>
        <v>0</v>
      </c>
      <c r="CS4" s="901">
        <f>'overview results'!X38</f>
        <v>0</v>
      </c>
      <c r="CT4" s="901">
        <f>'overview results'!AE6</f>
        <v>0</v>
      </c>
      <c r="CU4" s="902">
        <f>'health&amp;other'!G3</f>
        <v>0</v>
      </c>
      <c r="CV4" s="902">
        <f>'health&amp;other'!G5</f>
        <v>0</v>
      </c>
      <c r="CW4" s="902">
        <f>'health&amp;other'!G8</f>
        <v>0</v>
      </c>
      <c r="CX4" s="902">
        <f>'health&amp;other'!G9</f>
        <v>0</v>
      </c>
      <c r="CY4" s="902">
        <f>'health&amp;other'!G10</f>
        <v>0</v>
      </c>
      <c r="CZ4" s="902">
        <f>'health&amp;other'!G11</f>
        <v>0</v>
      </c>
      <c r="DA4" s="902">
        <f>'health&amp;other'!G12</f>
        <v>0</v>
      </c>
      <c r="DB4" s="902">
        <f>'health&amp;other'!G13</f>
        <v>0</v>
      </c>
      <c r="DC4" s="902">
        <f>'health&amp;other'!G14</f>
        <v>0</v>
      </c>
      <c r="DD4" s="902">
        <f>'health&amp;other'!G15</f>
        <v>0</v>
      </c>
      <c r="DE4" s="902">
        <f>'health&amp;other'!G16</f>
        <v>0</v>
      </c>
      <c r="DF4" s="902">
        <f>'health&amp;other'!G18</f>
        <v>0</v>
      </c>
      <c r="DG4">
        <f>'health&amp;other'!F21</f>
        <v>0</v>
      </c>
      <c r="DH4">
        <f>'health&amp;other'!F22</f>
        <v>0</v>
      </c>
      <c r="DI4">
        <f>'health&amp;other'!F23</f>
        <v>0</v>
      </c>
      <c r="DJ4">
        <f>'health&amp;other'!F24</f>
        <v>0</v>
      </c>
      <c r="DK4">
        <f>'health&amp;other'!F25</f>
        <v>0</v>
      </c>
      <c r="DL4">
        <f>'health&amp;other'!F29</f>
        <v>0</v>
      </c>
      <c r="DM4">
        <f>'health&amp;other'!G31</f>
        <v>0</v>
      </c>
      <c r="DN4">
        <f>'health&amp;other'!C32</f>
        <v>0</v>
      </c>
      <c r="DO4">
        <f>'health&amp;other'!G33</f>
        <v>0</v>
      </c>
      <c r="DP4">
        <f>'health&amp;other'!G36</f>
        <v>0</v>
      </c>
      <c r="DQ4">
        <f>'health&amp;other'!G37</f>
        <v>0</v>
      </c>
      <c r="DR4">
        <f>'health&amp;other'!G38</f>
        <v>0</v>
      </c>
      <c r="DS4">
        <f>'health&amp;other'!G39</f>
        <v>0</v>
      </c>
      <c r="DT4">
        <f>'health&amp;other'!G40</f>
        <v>0</v>
      </c>
      <c r="DU4">
        <f>'health&amp;other'!G41</f>
        <v>0</v>
      </c>
      <c r="DV4">
        <f>'health&amp;other'!G44</f>
        <v>0</v>
      </c>
      <c r="DW4">
        <f>'health&amp;other'!G45</f>
        <v>0</v>
      </c>
      <c r="DX4">
        <f>'health&amp;other'!G46</f>
        <v>0</v>
      </c>
      <c r="DY4">
        <f>'health&amp;other'!G47</f>
        <v>0</v>
      </c>
      <c r="DZ4">
        <f>'health&amp;other'!G48</f>
        <v>0</v>
      </c>
      <c r="EA4">
        <f>'health&amp;other'!G49</f>
        <v>0</v>
      </c>
      <c r="EB4">
        <f>'health&amp;other'!G50</f>
        <v>0</v>
      </c>
      <c r="EC4">
        <f>'health&amp;other'!G51</f>
        <v>0</v>
      </c>
      <c r="ED4">
        <f>'health&amp;other'!G54</f>
        <v>0</v>
      </c>
      <c r="EE4">
        <f>'health&amp;other'!G55</f>
        <v>0</v>
      </c>
      <c r="EF4">
        <f>'health&amp;other'!G56</f>
        <v>0</v>
      </c>
      <c r="EG4">
        <f>'health&amp;other'!G57</f>
        <v>0</v>
      </c>
      <c r="EH4">
        <f>'health&amp;other'!E60</f>
        <v>0</v>
      </c>
      <c r="EI4">
        <f>'health&amp;other'!E61</f>
        <v>0</v>
      </c>
      <c r="EJ4">
        <f>'health&amp;other'!E62</f>
        <v>0</v>
      </c>
      <c r="EK4">
        <f>'health&amp;other'!E63</f>
        <v>0</v>
      </c>
      <c r="EL4">
        <f>'health&amp;other'!G66</f>
        <v>0</v>
      </c>
      <c r="EM4">
        <f>'health&amp;other'!G67</f>
        <v>0</v>
      </c>
      <c r="EN4">
        <f>'health&amp;other'!G68</f>
        <v>0</v>
      </c>
      <c r="EO4">
        <f>'health&amp;other'!G69</f>
        <v>0</v>
      </c>
      <c r="EP4">
        <f>'health&amp;other'!G70</f>
        <v>0</v>
      </c>
      <c r="EQ4">
        <f>'health&amp;other'!G71</f>
        <v>0</v>
      </c>
      <c r="ER4">
        <f>'health&amp;other'!G73</f>
        <v>0</v>
      </c>
      <c r="ES4">
        <f>'health&amp;other'!G74</f>
        <v>0</v>
      </c>
      <c r="ET4">
        <f>'health&amp;other'!G75</f>
        <v>0</v>
      </c>
      <c r="EU4">
        <f>'health&amp;other'!G79</f>
        <v>0</v>
      </c>
      <c r="EV4">
        <f>'health&amp;other'!G80</f>
        <v>0</v>
      </c>
      <c r="EW4">
        <f>'health&amp;other'!G81</f>
        <v>0</v>
      </c>
      <c r="EX4">
        <f>'health&amp;other'!G82</f>
        <v>0</v>
      </c>
      <c r="EY4">
        <f>'health&amp;other'!G83</f>
        <v>0</v>
      </c>
    </row>
  </sheetData>
  <sheetProtection selectLockedCells="1" selectUnlockedCells="1"/>
  <mergeCells count="20">
    <mergeCell ref="A1:BB1"/>
    <mergeCell ref="BC1:BK1"/>
    <mergeCell ref="BL1:BQ1"/>
    <mergeCell ref="BR1:BX1"/>
    <mergeCell ref="BY1:CC1"/>
    <mergeCell ref="CD1:CH1"/>
    <mergeCell ref="CI1:CT1"/>
    <mergeCell ref="CU1:DK1"/>
    <mergeCell ref="DL1:EY1"/>
    <mergeCell ref="Q2:S2"/>
    <mergeCell ref="T2:V2"/>
    <mergeCell ref="W2:Y2"/>
    <mergeCell ref="CW2:DE2"/>
    <mergeCell ref="DG2:DK2"/>
    <mergeCell ref="DP2:DU2"/>
    <mergeCell ref="DV2:EC2"/>
    <mergeCell ref="ED2:EG2"/>
    <mergeCell ref="EH2:EK2"/>
    <mergeCell ref="EL2:EQ2"/>
    <mergeCell ref="EU2:EY2"/>
  </mergeCells>
  <printOptions/>
  <pageMargins left="0.7875" right="0.7875" top="1.0527777777777778" bottom="1.0527777777777778" header="0.7875" footer="0.7875"/>
  <pageSetup horizontalDpi="300" verticalDpi="300" orientation="portrait" paperSize="9"/>
  <headerFooter alignWithMargins="0">
    <oddHeader>&amp;C&amp;"Times New Roman,Navadno"&amp;12&amp;A</oddHeader>
    <oddFooter>&amp;C&amp;"Times New Roman,Navadno"&amp;12Page &amp;P</oddFooter>
  </headerFooter>
  <drawing r:id="rId1"/>
</worksheet>
</file>

<file path=xl/worksheets/sheet12.xml><?xml version="1.0" encoding="utf-8"?>
<worksheet xmlns="http://schemas.openxmlformats.org/spreadsheetml/2006/main" xmlns:r="http://schemas.openxmlformats.org/officeDocument/2006/relationships">
  <sheetPr>
    <tabColor indexed="13"/>
  </sheetPr>
  <dimension ref="A2:AZ90"/>
  <sheetViews>
    <sheetView workbookViewId="0" topLeftCell="A40">
      <selection activeCell="C19" sqref="C19"/>
    </sheetView>
  </sheetViews>
  <sheetFormatPr defaultColWidth="9.140625" defaultRowHeight="12.75"/>
  <cols>
    <col min="1" max="1" width="5.28125" style="0" customWidth="1"/>
    <col min="2" max="2" width="14.28125" style="0" customWidth="1"/>
    <col min="3" max="3" width="14.140625" style="0" customWidth="1"/>
    <col min="4" max="4" width="9.00390625" style="0" customWidth="1"/>
    <col min="5" max="5" width="11.421875" style="0" customWidth="1"/>
    <col min="6" max="6" width="11.28125" style="0" customWidth="1"/>
    <col min="7" max="7" width="12.28125" style="0" customWidth="1"/>
    <col min="8" max="8" width="9.28125" style="0" customWidth="1"/>
    <col min="9" max="9" width="9.7109375" style="0" customWidth="1"/>
    <col min="10" max="10" width="9.8515625" style="0" customWidth="1"/>
    <col min="11" max="11" width="8.57421875" style="0" customWidth="1"/>
    <col min="12" max="12" width="9.28125" style="0" customWidth="1"/>
    <col min="13" max="13" width="13.140625" style="0" customWidth="1"/>
    <col min="14" max="14" width="14.57421875" style="0" customWidth="1"/>
    <col min="15" max="15" width="8.8515625" style="0" customWidth="1"/>
    <col min="16" max="16" width="9.28125" style="0" customWidth="1"/>
    <col min="17" max="17" width="5.7109375" style="0" customWidth="1"/>
    <col min="18" max="18" width="9.00390625" style="0" customWidth="1"/>
    <col min="19" max="19" width="8.28125" style="0" customWidth="1"/>
    <col min="20" max="20" width="7.8515625" style="0" customWidth="1"/>
    <col min="21" max="22" width="10.7109375" style="0" customWidth="1"/>
    <col min="23" max="23" width="10.57421875" style="0" customWidth="1"/>
    <col min="24" max="24" width="7.140625" style="0" customWidth="1"/>
    <col min="25" max="25" width="9.7109375" style="0" customWidth="1"/>
    <col min="26" max="26" width="9.8515625" style="0" customWidth="1"/>
    <col min="27" max="27" width="7.7109375" style="0" customWidth="1"/>
    <col min="28" max="16384" width="10.7109375" style="0" customWidth="1"/>
  </cols>
  <sheetData>
    <row r="2" spans="1:10" ht="15.75">
      <c r="A2" s="626" t="s">
        <v>830</v>
      </c>
      <c r="C2" s="623"/>
      <c r="J2" s="903"/>
    </row>
    <row r="3" spans="3:5" ht="11.25" customHeight="1">
      <c r="C3" s="621"/>
      <c r="E3" s="62" t="s">
        <v>831</v>
      </c>
    </row>
    <row r="4" spans="3:5" ht="12.75">
      <c r="C4" s="138" t="s">
        <v>832</v>
      </c>
      <c r="E4" s="79" t="s">
        <v>832</v>
      </c>
    </row>
    <row r="5" spans="1:16" ht="12.75">
      <c r="A5" s="73"/>
      <c r="B5" s="46" t="s">
        <v>200</v>
      </c>
      <c r="C5" s="904">
        <v>0.24</v>
      </c>
      <c r="E5" s="905">
        <f>0.2*C8+0.4*C7+0.35*C6+0.05*C5</f>
        <v>0.08570000000000001</v>
      </c>
      <c r="F5" s="102"/>
      <c r="G5" s="906"/>
      <c r="H5" s="424"/>
      <c r="I5" s="907"/>
      <c r="M5" s="46"/>
      <c r="N5" s="46"/>
      <c r="O5" s="46"/>
      <c r="P5" s="46"/>
    </row>
    <row r="6" spans="2:16" ht="12.75">
      <c r="B6" s="46" t="s">
        <v>833</v>
      </c>
      <c r="C6" s="904">
        <v>0.07</v>
      </c>
      <c r="D6" s="908"/>
      <c r="F6" s="102"/>
      <c r="G6" s="906"/>
      <c r="H6" s="909"/>
      <c r="I6" s="907"/>
      <c r="J6" s="102"/>
      <c r="M6" s="46"/>
      <c r="N6" s="46"/>
      <c r="O6" s="46"/>
      <c r="P6" s="46"/>
    </row>
    <row r="7" spans="2:16" ht="12.75">
      <c r="B7" s="46" t="s">
        <v>834</v>
      </c>
      <c r="C7" s="910">
        <v>0.073</v>
      </c>
      <c r="D7" s="911"/>
      <c r="F7" s="102"/>
      <c r="G7" s="906"/>
      <c r="H7" s="909"/>
      <c r="I7" s="907"/>
      <c r="J7" s="102"/>
      <c r="M7" s="46"/>
      <c r="N7" s="46"/>
      <c r="O7" s="46"/>
      <c r="P7" s="46"/>
    </row>
    <row r="8" spans="2:16" ht="12.75">
      <c r="B8" s="906" t="s">
        <v>199</v>
      </c>
      <c r="C8" s="904">
        <v>0.1</v>
      </c>
      <c r="D8" s="911"/>
      <c r="F8" s="102"/>
      <c r="G8" s="906"/>
      <c r="H8" s="909"/>
      <c r="I8" s="907"/>
      <c r="J8" s="102"/>
      <c r="M8" s="46"/>
      <c r="N8" s="46"/>
      <c r="O8" s="46"/>
      <c r="P8" s="46"/>
    </row>
    <row r="9" spans="2:16" ht="12" customHeight="1">
      <c r="B9" s="912" t="s">
        <v>835</v>
      </c>
      <c r="C9" s="910">
        <v>0.05</v>
      </c>
      <c r="D9" s="913"/>
      <c r="E9" s="624"/>
      <c r="G9" s="906"/>
      <c r="H9" s="909"/>
      <c r="I9" s="907"/>
      <c r="J9" s="102"/>
      <c r="M9" s="46"/>
      <c r="N9" s="46"/>
      <c r="O9" s="46"/>
      <c r="P9" s="46"/>
    </row>
    <row r="10" spans="2:16" ht="11.25" customHeight="1">
      <c r="B10" s="914" t="s">
        <v>836</v>
      </c>
      <c r="C10" s="910">
        <v>0.4</v>
      </c>
      <c r="D10" s="913"/>
      <c r="E10" s="915"/>
      <c r="F10" s="915"/>
      <c r="G10" s="916"/>
      <c r="H10" s="909"/>
      <c r="I10" s="907"/>
      <c r="J10" s="102"/>
      <c r="M10" s="46"/>
      <c r="N10" s="46"/>
      <c r="O10" s="46"/>
      <c r="P10" s="46"/>
    </row>
    <row r="11" spans="2:16" ht="11.25" customHeight="1">
      <c r="B11" s="906" t="s">
        <v>837</v>
      </c>
      <c r="C11" s="917"/>
      <c r="D11" s="918"/>
      <c r="E11" s="102"/>
      <c r="F11" s="102"/>
      <c r="G11" s="906"/>
      <c r="H11" s="909"/>
      <c r="I11" s="907"/>
      <c r="J11" s="102"/>
      <c r="M11" s="46"/>
      <c r="N11" s="46"/>
      <c r="O11" s="46"/>
      <c r="P11" s="46"/>
    </row>
    <row r="12" spans="2:16" ht="12.75">
      <c r="B12" s="906"/>
      <c r="C12" s="138" t="s">
        <v>838</v>
      </c>
      <c r="D12" s="918"/>
      <c r="E12" s="102"/>
      <c r="F12" s="102"/>
      <c r="G12" s="906"/>
      <c r="H12" s="909"/>
      <c r="I12" s="907"/>
      <c r="J12" s="102"/>
      <c r="M12" s="46"/>
      <c r="N12" s="46"/>
      <c r="O12" s="46"/>
      <c r="P12" s="46"/>
    </row>
    <row r="13" spans="2:10" ht="12.75">
      <c r="B13" s="919" t="s">
        <v>839</v>
      </c>
      <c r="C13" s="904">
        <v>3.89</v>
      </c>
      <c r="D13" s="920"/>
      <c r="E13" s="102"/>
      <c r="F13" s="102"/>
      <c r="G13" s="906"/>
      <c r="H13" s="909"/>
      <c r="I13" s="907"/>
      <c r="J13" s="102"/>
    </row>
    <row r="14" spans="2:10" ht="9.75" customHeight="1">
      <c r="B14" s="919"/>
      <c r="C14" s="921"/>
      <c r="D14" s="79"/>
      <c r="E14" s="102"/>
      <c r="F14" s="102"/>
      <c r="G14" s="906"/>
      <c r="H14" s="909"/>
      <c r="I14" s="907"/>
      <c r="J14" s="102"/>
    </row>
    <row r="15" ht="12.75">
      <c r="C15" s="922"/>
    </row>
    <row r="16" spans="3:5" ht="12.75">
      <c r="C16" s="922"/>
      <c r="D16" s="923"/>
      <c r="E16" s="62"/>
    </row>
    <row r="17" spans="1:12" ht="44.25" customHeight="1">
      <c r="A17" s="626" t="s">
        <v>840</v>
      </c>
      <c r="C17" s="923"/>
      <c r="E17" s="924" t="s">
        <v>841</v>
      </c>
      <c r="F17" s="924"/>
      <c r="I17" s="925" t="s">
        <v>842</v>
      </c>
      <c r="J17" s="926"/>
      <c r="K17" s="927"/>
      <c r="L17" s="927"/>
    </row>
    <row r="18" spans="3:12" ht="12" customHeight="1">
      <c r="C18" s="138" t="s">
        <v>843</v>
      </c>
      <c r="D18" s="621"/>
      <c r="E18" s="138" t="s">
        <v>844</v>
      </c>
      <c r="I18" s="927"/>
      <c r="J18" s="927"/>
      <c r="K18" s="927"/>
      <c r="L18" s="927"/>
    </row>
    <row r="19" spans="2:12" ht="12.75">
      <c r="B19" s="906" t="s">
        <v>657</v>
      </c>
      <c r="C19" s="917">
        <v>628</v>
      </c>
      <c r="D19" s="928"/>
      <c r="E19" s="929">
        <v>209</v>
      </c>
      <c r="F19" s="621"/>
      <c r="I19" s="906" t="s">
        <v>657</v>
      </c>
      <c r="J19" s="930">
        <v>2.5</v>
      </c>
      <c r="K19" s="927"/>
      <c r="L19" s="931" t="s">
        <v>845</v>
      </c>
    </row>
    <row r="20" spans="2:12" ht="12.75">
      <c r="B20" s="906" t="s">
        <v>833</v>
      </c>
      <c r="C20" s="917">
        <v>266</v>
      </c>
      <c r="D20" s="928"/>
      <c r="I20" s="906" t="s">
        <v>833</v>
      </c>
      <c r="J20" s="930">
        <v>1.1</v>
      </c>
      <c r="K20" s="927"/>
      <c r="L20" s="930">
        <v>1</v>
      </c>
    </row>
    <row r="21" spans="2:12" ht="12.75">
      <c r="B21" s="906" t="s">
        <v>834</v>
      </c>
      <c r="C21" s="917">
        <v>202</v>
      </c>
      <c r="D21" s="102"/>
      <c r="I21" s="906" t="s">
        <v>834</v>
      </c>
      <c r="J21" s="930">
        <v>1.1</v>
      </c>
      <c r="K21" s="927"/>
      <c r="L21" s="927"/>
    </row>
    <row r="22" spans="2:12" ht="12.75">
      <c r="B22" s="906" t="s">
        <v>199</v>
      </c>
      <c r="C22" s="917">
        <v>207</v>
      </c>
      <c r="D22" s="102"/>
      <c r="I22" s="906" t="s">
        <v>199</v>
      </c>
      <c r="J22" s="930">
        <v>1.2</v>
      </c>
      <c r="K22" s="927"/>
      <c r="L22" s="927"/>
    </row>
    <row r="23" spans="2:12" ht="12.75">
      <c r="B23" s="906" t="s">
        <v>837</v>
      </c>
      <c r="C23" s="917">
        <v>234</v>
      </c>
      <c r="D23" s="102"/>
      <c r="I23" s="906" t="s">
        <v>837</v>
      </c>
      <c r="J23" s="930">
        <v>1.1</v>
      </c>
      <c r="K23" s="927"/>
      <c r="L23" s="927"/>
    </row>
    <row r="24" spans="2:12" ht="12.75">
      <c r="B24" s="932" t="s">
        <v>835</v>
      </c>
      <c r="C24" s="917">
        <v>6</v>
      </c>
      <c r="D24" s="933"/>
      <c r="E24" s="621"/>
      <c r="I24" s="932" t="s">
        <v>835</v>
      </c>
      <c r="J24" s="930">
        <v>0.1</v>
      </c>
      <c r="K24" s="927"/>
      <c r="L24" s="927"/>
    </row>
    <row r="25" spans="2:12" ht="12.75">
      <c r="B25" s="932" t="s">
        <v>836</v>
      </c>
      <c r="C25" s="917">
        <v>354</v>
      </c>
      <c r="D25" s="933"/>
      <c r="I25" s="932" t="s">
        <v>836</v>
      </c>
      <c r="J25" s="930">
        <v>1.1</v>
      </c>
      <c r="K25" s="927"/>
      <c r="L25" s="927"/>
    </row>
    <row r="26" ht="14.25" customHeight="1"/>
    <row r="27" ht="6" customHeight="1"/>
    <row r="28" ht="18">
      <c r="A28" s="934" t="s">
        <v>846</v>
      </c>
    </row>
    <row r="29" ht="9" customHeight="1"/>
    <row r="30" ht="12.75">
      <c r="A30" s="935" t="s">
        <v>847</v>
      </c>
    </row>
    <row r="31" ht="8.25" customHeight="1">
      <c r="A31" s="935"/>
    </row>
    <row r="32" spans="1:28" ht="12.75">
      <c r="A32" s="935"/>
      <c r="B32" s="936"/>
      <c r="C32" s="937"/>
      <c r="D32" s="938"/>
      <c r="E32" s="561" t="s">
        <v>848</v>
      </c>
      <c r="F32" s="561"/>
      <c r="G32" s="561"/>
      <c r="H32" s="939"/>
      <c r="K32" s="940" t="s">
        <v>849</v>
      </c>
      <c r="L32" s="102"/>
      <c r="M32" s="102"/>
      <c r="N32" s="102"/>
      <c r="O32" s="102"/>
      <c r="P32" s="102"/>
      <c r="Q32" s="102"/>
      <c r="R32" s="102"/>
      <c r="S32" s="102"/>
      <c r="T32" s="102"/>
      <c r="U32" s="102"/>
      <c r="V32" s="102"/>
      <c r="W32" s="102"/>
      <c r="X32" s="102"/>
      <c r="Y32" s="102"/>
      <c r="Z32" s="102"/>
      <c r="AA32" s="102"/>
      <c r="AB32" s="102"/>
    </row>
    <row r="33" spans="2:52" s="1" customFormat="1" ht="12" customHeight="1">
      <c r="B33" s="941" t="s">
        <v>850</v>
      </c>
      <c r="C33" s="942" t="s">
        <v>851</v>
      </c>
      <c r="D33" s="942"/>
      <c r="E33" s="943" t="s">
        <v>852</v>
      </c>
      <c r="F33" s="943" t="s">
        <v>853</v>
      </c>
      <c r="G33" s="943" t="s">
        <v>854</v>
      </c>
      <c r="H33" s="942" t="s">
        <v>855</v>
      </c>
      <c r="K33" s="944"/>
      <c r="L33" s="944"/>
      <c r="M33" s="945" t="s">
        <v>856</v>
      </c>
      <c r="N33" s="944"/>
      <c r="O33" s="944"/>
      <c r="P33" s="944"/>
      <c r="Q33" s="944"/>
      <c r="R33" s="944"/>
      <c r="S33" s="944"/>
      <c r="T33" s="944"/>
      <c r="U33" s="944"/>
      <c r="V33" s="946"/>
      <c r="W33" s="946"/>
      <c r="X33" s="944"/>
      <c r="Y33" s="944"/>
      <c r="Z33" s="944"/>
      <c r="AA33" s="944"/>
      <c r="AB33" s="944"/>
      <c r="AC33" s="1" t="s">
        <v>662</v>
      </c>
      <c r="AZ33" s="34"/>
    </row>
    <row r="34" spans="1:52" ht="15" customHeight="1">
      <c r="A34" s="1"/>
      <c r="B34" s="947">
        <v>1</v>
      </c>
      <c r="C34" s="948">
        <v>0</v>
      </c>
      <c r="D34" s="948">
        <v>1600</v>
      </c>
      <c r="E34" s="948">
        <v>-600</v>
      </c>
      <c r="F34" s="948">
        <v>-220</v>
      </c>
      <c r="G34" s="949">
        <v>-150</v>
      </c>
      <c r="H34" s="950" t="s">
        <v>158</v>
      </c>
      <c r="I34" s="1"/>
      <c r="J34" s="1"/>
      <c r="K34" s="951" t="s">
        <v>850</v>
      </c>
      <c r="L34" s="952" t="s">
        <v>857</v>
      </c>
      <c r="M34" s="953" t="s">
        <v>858</v>
      </c>
      <c r="N34" s="953" t="s">
        <v>854</v>
      </c>
      <c r="O34" s="953" t="s">
        <v>852</v>
      </c>
      <c r="P34" s="954"/>
      <c r="Q34" s="954"/>
      <c r="R34" s="954"/>
      <c r="S34" s="954"/>
      <c r="T34" s="951" t="s">
        <v>850</v>
      </c>
      <c r="U34" s="953" t="s">
        <v>859</v>
      </c>
      <c r="V34" s="953" t="s">
        <v>213</v>
      </c>
      <c r="W34" s="953" t="s">
        <v>852</v>
      </c>
      <c r="X34" s="954"/>
      <c r="Y34" s="953" t="s">
        <v>860</v>
      </c>
      <c r="Z34" s="954"/>
      <c r="AA34" s="954"/>
      <c r="AB34" s="953" t="s">
        <v>855</v>
      </c>
      <c r="AZ34" s="34"/>
    </row>
    <row r="35" spans="1:52" ht="15" customHeight="1">
      <c r="A35" s="1"/>
      <c r="B35" s="955"/>
      <c r="C35" s="956">
        <v>1601</v>
      </c>
      <c r="D35" s="956">
        <v>2100</v>
      </c>
      <c r="E35" s="957"/>
      <c r="F35" s="957"/>
      <c r="G35" s="958"/>
      <c r="H35" s="950" t="s">
        <v>160</v>
      </c>
      <c r="I35" s="1"/>
      <c r="J35" s="1"/>
      <c r="K35" s="959">
        <f>B34</f>
        <v>1</v>
      </c>
      <c r="L35" s="960">
        <f>'household+building'!Q$42</f>
        <v>0</v>
      </c>
      <c r="M35" s="961">
        <f>F34</f>
        <v>-220</v>
      </c>
      <c r="N35" s="961">
        <f>G34</f>
        <v>-150</v>
      </c>
      <c r="O35" s="961">
        <f>E34</f>
        <v>-600</v>
      </c>
      <c r="P35" s="961">
        <f>IF(T35=1,"A","")</f>
        <v>0</v>
      </c>
      <c r="Q35" s="962">
        <f>IF(T$35=1,IF(L$35&lt;=Z$35,1,""),"")</f>
        <v>0</v>
      </c>
      <c r="R35" s="961">
        <f aca="true" t="shared" si="0" ref="R35:R54">C34</f>
        <v>0</v>
      </c>
      <c r="S35" s="961">
        <f aca="true" t="shared" si="1" ref="S35:S38">D34</f>
        <v>1600</v>
      </c>
      <c r="T35" s="961">
        <f>IF('household+building'!G$26=K35,1,0)</f>
        <v>0</v>
      </c>
      <c r="U35" s="961">
        <f>IF('household+building'!I47="j",M35,"")</f>
        <v>0</v>
      </c>
      <c r="V35" s="961">
        <f>IF('household+building'!I48="no",N35,"")</f>
        <v>0</v>
      </c>
      <c r="W35" s="963">
        <f>IF('household+building'!I46="no",O35,"")</f>
        <v>0</v>
      </c>
      <c r="X35" s="964">
        <f>SUM(U35:W35)</f>
        <v>0</v>
      </c>
      <c r="Y35" s="961">
        <f>R35</f>
        <v>0</v>
      </c>
      <c r="Z35" s="965">
        <f aca="true" t="shared" si="2" ref="Z35:Z37">IF(X$35&lt;&gt;"",SUM(S35+X$35),S35)</f>
        <v>1600</v>
      </c>
      <c r="AA35" s="966">
        <f>SUM(U35:W35)*T35</f>
        <v>0</v>
      </c>
      <c r="AB35" s="967" t="s">
        <v>158</v>
      </c>
      <c r="AZ35" s="34"/>
    </row>
    <row r="36" spans="1:52" ht="15" customHeight="1">
      <c r="A36" s="1"/>
      <c r="B36" s="955"/>
      <c r="C36" s="956">
        <v>2101</v>
      </c>
      <c r="D36" s="956">
        <v>2600</v>
      </c>
      <c r="E36" s="957"/>
      <c r="F36" s="957"/>
      <c r="G36" s="958"/>
      <c r="H36" s="950" t="s">
        <v>161</v>
      </c>
      <c r="I36" s="1"/>
      <c r="J36" s="1"/>
      <c r="K36" s="955"/>
      <c r="L36" s="957"/>
      <c r="M36" s="957">
        <f aca="true" t="shared" si="3" ref="M36:M38">M35</f>
        <v>-220</v>
      </c>
      <c r="N36" s="957">
        <f aca="true" t="shared" si="4" ref="N36:N38">N35</f>
        <v>-150</v>
      </c>
      <c r="O36" s="957">
        <f aca="true" t="shared" si="5" ref="O36:O38">O35</f>
        <v>-600</v>
      </c>
      <c r="P36" s="957">
        <f>IF(T35=1,"B","")</f>
        <v>0</v>
      </c>
      <c r="Q36" s="968">
        <f aca="true" t="shared" si="6" ref="Q36:Q38">IF(T$35=1,IF(L$35&gt;=Y36,IF(L$35&lt;=Z36,1,""),""),"")</f>
        <v>0</v>
      </c>
      <c r="R36" s="969">
        <f t="shared" si="0"/>
        <v>1601</v>
      </c>
      <c r="S36" s="969">
        <f t="shared" si="1"/>
        <v>2100</v>
      </c>
      <c r="T36" s="957"/>
      <c r="U36" s="957"/>
      <c r="V36" s="957"/>
      <c r="W36" s="958"/>
      <c r="X36" s="970"/>
      <c r="Y36" s="957">
        <f aca="true" t="shared" si="7" ref="Y36:Y38">Z35+1</f>
        <v>1601</v>
      </c>
      <c r="Z36" s="957">
        <f t="shared" si="2"/>
        <v>2100</v>
      </c>
      <c r="AA36" s="971"/>
      <c r="AB36" s="967" t="s">
        <v>160</v>
      </c>
      <c r="AD36" s="11"/>
      <c r="AZ36" s="34"/>
    </row>
    <row r="37" spans="1:52" ht="15" customHeight="1">
      <c r="A37" s="1"/>
      <c r="B37" s="972"/>
      <c r="C37" s="973">
        <v>2601</v>
      </c>
      <c r="D37" s="973">
        <v>999999</v>
      </c>
      <c r="E37" s="957"/>
      <c r="F37" s="957"/>
      <c r="G37" s="958"/>
      <c r="H37" s="950" t="s">
        <v>163</v>
      </c>
      <c r="I37" s="1"/>
      <c r="J37" s="1"/>
      <c r="K37" s="955"/>
      <c r="L37" s="957"/>
      <c r="M37" s="957">
        <f t="shared" si="3"/>
        <v>-220</v>
      </c>
      <c r="N37" s="957">
        <f t="shared" si="4"/>
        <v>-150</v>
      </c>
      <c r="O37" s="957">
        <f t="shared" si="5"/>
        <v>-600</v>
      </c>
      <c r="P37" s="957">
        <f>IF(T35=1,"C","")</f>
        <v>0</v>
      </c>
      <c r="Q37" s="968">
        <f t="shared" si="6"/>
        <v>0</v>
      </c>
      <c r="R37" s="969">
        <f t="shared" si="0"/>
        <v>2101</v>
      </c>
      <c r="S37" s="969">
        <f t="shared" si="1"/>
        <v>2600</v>
      </c>
      <c r="T37" s="957"/>
      <c r="U37" s="957"/>
      <c r="V37" s="957"/>
      <c r="W37" s="958"/>
      <c r="X37" s="970"/>
      <c r="Y37" s="957">
        <f t="shared" si="7"/>
        <v>2101</v>
      </c>
      <c r="Z37" s="957">
        <f t="shared" si="2"/>
        <v>2600</v>
      </c>
      <c r="AA37" s="971"/>
      <c r="AB37" s="967" t="s">
        <v>161</v>
      </c>
      <c r="AZ37" s="34"/>
    </row>
    <row r="38" spans="1:52" ht="15" customHeight="1">
      <c r="A38" s="1"/>
      <c r="B38" s="947">
        <v>2</v>
      </c>
      <c r="C38" s="948">
        <v>0</v>
      </c>
      <c r="D38" s="948">
        <v>2800</v>
      </c>
      <c r="E38" s="948">
        <v>-1200</v>
      </c>
      <c r="F38" s="948">
        <v>-410</v>
      </c>
      <c r="G38" s="949">
        <v>-300</v>
      </c>
      <c r="H38" s="950" t="s">
        <v>158</v>
      </c>
      <c r="I38" s="1"/>
      <c r="J38" s="1"/>
      <c r="K38" s="972"/>
      <c r="L38" s="974"/>
      <c r="M38" s="957">
        <f t="shared" si="3"/>
        <v>-220</v>
      </c>
      <c r="N38" s="957">
        <f t="shared" si="4"/>
        <v>-150</v>
      </c>
      <c r="O38" s="957">
        <f t="shared" si="5"/>
        <v>-600</v>
      </c>
      <c r="P38" s="974">
        <f>IF(T35=1,"D","")</f>
        <v>0</v>
      </c>
      <c r="Q38" s="968">
        <f t="shared" si="6"/>
        <v>0</v>
      </c>
      <c r="R38" s="969">
        <f t="shared" si="0"/>
        <v>2601</v>
      </c>
      <c r="S38" s="969">
        <f t="shared" si="1"/>
        <v>999999</v>
      </c>
      <c r="T38" s="974"/>
      <c r="U38" s="974"/>
      <c r="V38" s="974"/>
      <c r="W38" s="975"/>
      <c r="X38" s="970"/>
      <c r="Y38" s="974">
        <f t="shared" si="7"/>
        <v>2601</v>
      </c>
      <c r="Z38" s="974">
        <f>S38</f>
        <v>999999</v>
      </c>
      <c r="AA38" s="976"/>
      <c r="AB38" s="977" t="s">
        <v>163</v>
      </c>
      <c r="AZ38" s="34"/>
    </row>
    <row r="39" spans="1:52" ht="15" customHeight="1">
      <c r="A39" s="1"/>
      <c r="B39" s="955"/>
      <c r="C39" s="956">
        <v>2801</v>
      </c>
      <c r="D39" s="956">
        <v>3600</v>
      </c>
      <c r="E39" s="957"/>
      <c r="F39" s="957"/>
      <c r="G39" s="958"/>
      <c r="H39" s="950" t="s">
        <v>160</v>
      </c>
      <c r="I39" s="1"/>
      <c r="J39" s="1"/>
      <c r="K39" s="978">
        <f>B38</f>
        <v>2</v>
      </c>
      <c r="L39" s="979">
        <f>'household+building'!Q$42</f>
        <v>0</v>
      </c>
      <c r="M39" s="969">
        <v>-410</v>
      </c>
      <c r="N39" s="969">
        <f>G38</f>
        <v>-300</v>
      </c>
      <c r="O39" s="969">
        <f>E38</f>
        <v>-1200</v>
      </c>
      <c r="P39" s="969">
        <f>IF(T39=1,"A","")</f>
        <v>0</v>
      </c>
      <c r="Q39" s="980">
        <f>IF(T$39=1,IF(L$39&lt;=Z$39,1,""),"")</f>
        <v>0</v>
      </c>
      <c r="R39" s="969">
        <f t="shared" si="0"/>
        <v>0</v>
      </c>
      <c r="S39" s="969">
        <v>2800</v>
      </c>
      <c r="T39" s="969">
        <f>IF('household+building'!G$26=K39,1,0)</f>
        <v>0</v>
      </c>
      <c r="U39" s="969">
        <f>IF('household+building'!I47="j",M39,"")</f>
        <v>0</v>
      </c>
      <c r="V39" s="969">
        <f>IF('household+building'!I48="no",N39,"")</f>
        <v>0</v>
      </c>
      <c r="W39" s="981">
        <f>IF('household+building'!I46="no",O39,"")</f>
        <v>0</v>
      </c>
      <c r="X39" s="982">
        <f>SUM(U39:W39)</f>
        <v>0</v>
      </c>
      <c r="Y39" s="969">
        <f>R39</f>
        <v>0</v>
      </c>
      <c r="Z39" s="983">
        <v>2800</v>
      </c>
      <c r="AA39" s="984">
        <f>SUM(U39:W39)*T39</f>
        <v>0</v>
      </c>
      <c r="AB39" s="985" t="s">
        <v>158</v>
      </c>
      <c r="AZ39" s="34"/>
    </row>
    <row r="40" spans="1:52" ht="15" customHeight="1">
      <c r="A40" s="1"/>
      <c r="B40" s="955"/>
      <c r="C40" s="956">
        <v>3601</v>
      </c>
      <c r="D40" s="956">
        <v>4200</v>
      </c>
      <c r="E40" s="957"/>
      <c r="F40" s="957"/>
      <c r="G40" s="958"/>
      <c r="H40" s="950" t="s">
        <v>161</v>
      </c>
      <c r="I40" s="1"/>
      <c r="J40" s="1"/>
      <c r="K40" s="955"/>
      <c r="L40" s="957"/>
      <c r="M40" s="957">
        <f aca="true" t="shared" si="8" ref="M40:M42">M39</f>
        <v>-410</v>
      </c>
      <c r="N40" s="957">
        <f aca="true" t="shared" si="9" ref="N40:N42">N39</f>
        <v>-300</v>
      </c>
      <c r="O40" s="957">
        <f aca="true" t="shared" si="10" ref="O40:O42">O39</f>
        <v>-1200</v>
      </c>
      <c r="P40" s="957">
        <f>IF(T39=1,"B","")</f>
        <v>0</v>
      </c>
      <c r="Q40" s="968">
        <f aca="true" t="shared" si="11" ref="Q40:Q42">IF(T$39=1,IF(L$39&gt;=Y40,IF(L$39&lt;=Z40,1,""),""),"")</f>
        <v>0</v>
      </c>
      <c r="R40" s="969">
        <f t="shared" si="0"/>
        <v>2801</v>
      </c>
      <c r="S40" s="969">
        <f aca="true" t="shared" si="12" ref="S40:S54">D39</f>
        <v>3600</v>
      </c>
      <c r="T40" s="957"/>
      <c r="U40" s="957"/>
      <c r="V40" s="957"/>
      <c r="W40" s="958"/>
      <c r="X40" s="970"/>
      <c r="Y40" s="957">
        <f aca="true" t="shared" si="13" ref="Y40:Y42">Z39+1</f>
        <v>2801</v>
      </c>
      <c r="Z40" s="957">
        <f aca="true" t="shared" si="14" ref="Z40:Z41">IF(X$39&lt;&gt;"",SUM(S40+X$39),S40)</f>
        <v>3600</v>
      </c>
      <c r="AA40" s="971"/>
      <c r="AB40" s="985" t="s">
        <v>160</v>
      </c>
      <c r="AZ40" s="34"/>
    </row>
    <row r="41" spans="1:52" ht="15" customHeight="1">
      <c r="A41" s="1"/>
      <c r="B41" s="972"/>
      <c r="C41" s="973">
        <v>4201</v>
      </c>
      <c r="D41" s="973">
        <v>999999</v>
      </c>
      <c r="E41" s="957"/>
      <c r="F41" s="957"/>
      <c r="G41" s="958"/>
      <c r="H41" s="950" t="s">
        <v>163</v>
      </c>
      <c r="I41" s="1"/>
      <c r="J41" s="1"/>
      <c r="K41" s="955"/>
      <c r="L41" s="957"/>
      <c r="M41" s="957">
        <f t="shared" si="8"/>
        <v>-410</v>
      </c>
      <c r="N41" s="957">
        <f t="shared" si="9"/>
        <v>-300</v>
      </c>
      <c r="O41" s="957">
        <f t="shared" si="10"/>
        <v>-1200</v>
      </c>
      <c r="P41" s="957">
        <f>IF(T39=1,"C","")</f>
        <v>0</v>
      </c>
      <c r="Q41" s="968">
        <f t="shared" si="11"/>
        <v>0</v>
      </c>
      <c r="R41" s="969">
        <f t="shared" si="0"/>
        <v>3601</v>
      </c>
      <c r="S41" s="969">
        <f t="shared" si="12"/>
        <v>4200</v>
      </c>
      <c r="T41" s="957"/>
      <c r="U41" s="957"/>
      <c r="V41" s="957"/>
      <c r="W41" s="958"/>
      <c r="X41" s="970"/>
      <c r="Y41" s="957">
        <f t="shared" si="13"/>
        <v>3601</v>
      </c>
      <c r="Z41" s="957">
        <f t="shared" si="14"/>
        <v>4200</v>
      </c>
      <c r="AA41" s="971"/>
      <c r="AB41" s="985" t="s">
        <v>161</v>
      </c>
      <c r="AZ41" s="34"/>
    </row>
    <row r="42" spans="1:52" ht="15" customHeight="1">
      <c r="A42" s="1"/>
      <c r="B42" s="947">
        <v>3</v>
      </c>
      <c r="C42" s="948">
        <v>0</v>
      </c>
      <c r="D42" s="948">
        <v>3800</v>
      </c>
      <c r="E42" s="948">
        <v>-1400</v>
      </c>
      <c r="F42" s="948">
        <v>-470</v>
      </c>
      <c r="G42" s="949">
        <v>-400</v>
      </c>
      <c r="H42" s="950" t="s">
        <v>158</v>
      </c>
      <c r="I42" s="1"/>
      <c r="J42" s="1"/>
      <c r="K42" s="972"/>
      <c r="L42" s="974"/>
      <c r="M42" s="957">
        <f t="shared" si="8"/>
        <v>-410</v>
      </c>
      <c r="N42" s="957">
        <f t="shared" si="9"/>
        <v>-300</v>
      </c>
      <c r="O42" s="957">
        <f t="shared" si="10"/>
        <v>-1200</v>
      </c>
      <c r="P42" s="974">
        <f>IF(T39=1,"D","")</f>
        <v>0</v>
      </c>
      <c r="Q42" s="968">
        <f t="shared" si="11"/>
        <v>0</v>
      </c>
      <c r="R42" s="969">
        <f t="shared" si="0"/>
        <v>4201</v>
      </c>
      <c r="S42" s="969">
        <f t="shared" si="12"/>
        <v>999999</v>
      </c>
      <c r="T42" s="974"/>
      <c r="U42" s="974"/>
      <c r="V42" s="974"/>
      <c r="W42" s="975"/>
      <c r="X42" s="970"/>
      <c r="Y42" s="974">
        <f t="shared" si="13"/>
        <v>4201</v>
      </c>
      <c r="Z42" s="974">
        <f>S42</f>
        <v>999999</v>
      </c>
      <c r="AA42" s="976"/>
      <c r="AB42" s="46" t="s">
        <v>163</v>
      </c>
      <c r="AZ42" s="34"/>
    </row>
    <row r="43" spans="1:52" ht="15" customHeight="1">
      <c r="A43" s="1"/>
      <c r="B43" s="955"/>
      <c r="C43" s="956">
        <v>3801</v>
      </c>
      <c r="D43" s="956">
        <v>4600</v>
      </c>
      <c r="E43" s="957"/>
      <c r="F43" s="957"/>
      <c r="G43" s="958"/>
      <c r="H43" s="950" t="s">
        <v>160</v>
      </c>
      <c r="I43" s="1"/>
      <c r="J43" s="1"/>
      <c r="K43" s="978">
        <f>B42</f>
        <v>3</v>
      </c>
      <c r="L43" s="979">
        <f>'household+building'!Q$42</f>
        <v>0</v>
      </c>
      <c r="M43" s="969">
        <v>-470</v>
      </c>
      <c r="N43" s="969">
        <f>G42</f>
        <v>-400</v>
      </c>
      <c r="O43" s="969">
        <f>E42</f>
        <v>-1400</v>
      </c>
      <c r="P43" s="969">
        <f>IF(T43=1,"A","")</f>
        <v>0</v>
      </c>
      <c r="Q43" s="980">
        <f>IF(T$43=1,IF(L$43&lt;=Z$43,1,""),"")</f>
        <v>0</v>
      </c>
      <c r="R43" s="969">
        <f t="shared" si="0"/>
        <v>0</v>
      </c>
      <c r="S43" s="969">
        <f t="shared" si="12"/>
        <v>3800</v>
      </c>
      <c r="T43" s="969">
        <f>IF('household+building'!G$26=K43,1,0)</f>
        <v>0</v>
      </c>
      <c r="U43" s="969">
        <f>IF('household+building'!I47="j",M43,"")</f>
        <v>0</v>
      </c>
      <c r="V43" s="969">
        <f>IF('household+building'!I48="no",N43,"")</f>
        <v>0</v>
      </c>
      <c r="W43" s="981">
        <f>IF('household+building'!I46="no",O43,"")</f>
        <v>0</v>
      </c>
      <c r="X43" s="982">
        <f>SUM(U43:W43)</f>
        <v>0</v>
      </c>
      <c r="Y43" s="969">
        <f>R43</f>
        <v>0</v>
      </c>
      <c r="Z43" s="983">
        <f aca="true" t="shared" si="15" ref="Z43:Z45">IF(X$43&lt;&gt;"",SUM(S43+X$43),S43)</f>
        <v>3800</v>
      </c>
      <c r="AA43" s="984">
        <f>SUM(U43:W43)*T43</f>
        <v>0</v>
      </c>
      <c r="AB43" s="986" t="s">
        <v>158</v>
      </c>
      <c r="AZ43" s="34"/>
    </row>
    <row r="44" spans="1:52" ht="15" customHeight="1">
      <c r="A44" s="1"/>
      <c r="B44" s="955"/>
      <c r="C44" s="956">
        <v>4601</v>
      </c>
      <c r="D44" s="956">
        <v>5300</v>
      </c>
      <c r="E44" s="957"/>
      <c r="F44" s="957"/>
      <c r="G44" s="958"/>
      <c r="H44" s="950" t="s">
        <v>161</v>
      </c>
      <c r="I44" s="1"/>
      <c r="J44" s="1"/>
      <c r="K44" s="955"/>
      <c r="L44" s="957"/>
      <c r="M44" s="957">
        <f aca="true" t="shared" si="16" ref="M44:M46">M43</f>
        <v>-470</v>
      </c>
      <c r="N44" s="957">
        <f aca="true" t="shared" si="17" ref="N44:N46">N43</f>
        <v>-400</v>
      </c>
      <c r="O44" s="957">
        <f aca="true" t="shared" si="18" ref="O44:O46">O43</f>
        <v>-1400</v>
      </c>
      <c r="P44" s="957">
        <f>IF(T43=1,"B","")</f>
        <v>0</v>
      </c>
      <c r="Q44" s="968">
        <f aca="true" t="shared" si="19" ref="Q44:Q46">IF(T$43=1,IF(L$43&gt;=Y44,IF(L$43&lt;=Z44,1,""),""),"")</f>
        <v>0</v>
      </c>
      <c r="R44" s="969">
        <f t="shared" si="0"/>
        <v>3801</v>
      </c>
      <c r="S44" s="969">
        <f t="shared" si="12"/>
        <v>4600</v>
      </c>
      <c r="T44" s="957"/>
      <c r="U44" s="957"/>
      <c r="V44" s="957"/>
      <c r="W44" s="958"/>
      <c r="X44" s="970"/>
      <c r="Y44" s="957">
        <f aca="true" t="shared" si="20" ref="Y44:Y46">Z43+1</f>
        <v>3801</v>
      </c>
      <c r="Z44" s="957">
        <f t="shared" si="15"/>
        <v>4600</v>
      </c>
      <c r="AA44" s="971"/>
      <c r="AB44" s="967" t="s">
        <v>160</v>
      </c>
      <c r="AZ44" s="34"/>
    </row>
    <row r="45" spans="1:52" ht="15" customHeight="1">
      <c r="A45" s="1"/>
      <c r="B45" s="972"/>
      <c r="C45" s="973">
        <v>5301</v>
      </c>
      <c r="D45" s="973">
        <v>999999</v>
      </c>
      <c r="E45" s="957"/>
      <c r="F45" s="957"/>
      <c r="G45" s="958"/>
      <c r="H45" s="950" t="s">
        <v>163</v>
      </c>
      <c r="I45" s="1"/>
      <c r="J45" s="1"/>
      <c r="K45" s="955"/>
      <c r="L45" s="957"/>
      <c r="M45" s="957">
        <f t="shared" si="16"/>
        <v>-470</v>
      </c>
      <c r="N45" s="957">
        <f t="shared" si="17"/>
        <v>-400</v>
      </c>
      <c r="O45" s="957">
        <f t="shared" si="18"/>
        <v>-1400</v>
      </c>
      <c r="P45" s="957">
        <f>IF(T43=1,"C","")</f>
        <v>0</v>
      </c>
      <c r="Q45" s="968">
        <f t="shared" si="19"/>
        <v>0</v>
      </c>
      <c r="R45" s="969">
        <f t="shared" si="0"/>
        <v>4601</v>
      </c>
      <c r="S45" s="969">
        <f t="shared" si="12"/>
        <v>5300</v>
      </c>
      <c r="T45" s="957"/>
      <c r="U45" s="957"/>
      <c r="V45" s="957"/>
      <c r="W45" s="958"/>
      <c r="X45" s="970"/>
      <c r="Y45" s="957">
        <f t="shared" si="20"/>
        <v>4601</v>
      </c>
      <c r="Z45" s="957">
        <f t="shared" si="15"/>
        <v>5300</v>
      </c>
      <c r="AA45" s="971"/>
      <c r="AB45" s="967" t="s">
        <v>161</v>
      </c>
      <c r="AZ45" s="34"/>
    </row>
    <row r="46" spans="1:52" ht="15" customHeight="1">
      <c r="A46" s="1"/>
      <c r="B46" s="947">
        <v>4</v>
      </c>
      <c r="C46" s="948">
        <v>0</v>
      </c>
      <c r="D46" s="948">
        <v>4500</v>
      </c>
      <c r="E46" s="948">
        <v>-1800</v>
      </c>
      <c r="F46" s="948">
        <v>-600</v>
      </c>
      <c r="G46" s="949">
        <v>-600</v>
      </c>
      <c r="H46" s="950" t="s">
        <v>158</v>
      </c>
      <c r="I46" s="1"/>
      <c r="J46" s="1"/>
      <c r="K46" s="972"/>
      <c r="L46" s="974"/>
      <c r="M46" s="957">
        <f t="shared" si="16"/>
        <v>-470</v>
      </c>
      <c r="N46" s="957">
        <f t="shared" si="17"/>
        <v>-400</v>
      </c>
      <c r="O46" s="957">
        <f t="shared" si="18"/>
        <v>-1400</v>
      </c>
      <c r="P46" s="974">
        <f>IF(T43=1,"D","")</f>
        <v>0</v>
      </c>
      <c r="Q46" s="968">
        <f t="shared" si="19"/>
        <v>0</v>
      </c>
      <c r="R46" s="969">
        <f t="shared" si="0"/>
        <v>5301</v>
      </c>
      <c r="S46" s="969">
        <f t="shared" si="12"/>
        <v>999999</v>
      </c>
      <c r="T46" s="974"/>
      <c r="U46" s="974"/>
      <c r="V46" s="974"/>
      <c r="W46" s="975"/>
      <c r="X46" s="970"/>
      <c r="Y46" s="974">
        <f t="shared" si="20"/>
        <v>5301</v>
      </c>
      <c r="Z46" s="974">
        <f>S46</f>
        <v>999999</v>
      </c>
      <c r="AA46" s="976"/>
      <c r="AB46" s="977" t="s">
        <v>163</v>
      </c>
      <c r="AZ46" s="34"/>
    </row>
    <row r="47" spans="1:52" ht="15" customHeight="1">
      <c r="A47" s="1"/>
      <c r="B47" s="955"/>
      <c r="C47" s="956">
        <v>4501</v>
      </c>
      <c r="D47" s="956">
        <v>5450</v>
      </c>
      <c r="E47" s="957"/>
      <c r="F47" s="957"/>
      <c r="G47" s="958"/>
      <c r="H47" s="950" t="s">
        <v>160</v>
      </c>
      <c r="I47" s="1"/>
      <c r="J47" s="1"/>
      <c r="K47" s="978">
        <f>B46</f>
        <v>4</v>
      </c>
      <c r="L47" s="979">
        <f>'household+building'!Q$42</f>
        <v>0</v>
      </c>
      <c r="M47" s="969">
        <v>-600</v>
      </c>
      <c r="N47" s="969">
        <f>G46</f>
        <v>-600</v>
      </c>
      <c r="O47" s="969">
        <f>E46</f>
        <v>-1800</v>
      </c>
      <c r="P47" s="969">
        <f>IF(T47=1,"A","")</f>
        <v>0</v>
      </c>
      <c r="Q47" s="980">
        <f>IF(T$47=1,IF(L$47&lt;=Z$47,1,""),"")</f>
        <v>0</v>
      </c>
      <c r="R47" s="969">
        <f t="shared" si="0"/>
        <v>0</v>
      </c>
      <c r="S47" s="969">
        <f t="shared" si="12"/>
        <v>4500</v>
      </c>
      <c r="T47" s="969">
        <f>IF('household+building'!G$26=K47,1,0)</f>
        <v>0</v>
      </c>
      <c r="U47" s="969">
        <f>IF('household+building'!I$47="j",M47,"")</f>
        <v>0</v>
      </c>
      <c r="V47" s="969">
        <f>IF('household+building'!I$48="no",N47,"")</f>
        <v>0</v>
      </c>
      <c r="W47" s="981">
        <f>IF('household+building'!I$46="no",O47,"")</f>
        <v>0</v>
      </c>
      <c r="X47" s="982">
        <f>SUM(U47:W47)</f>
        <v>0</v>
      </c>
      <c r="Y47" s="969">
        <f>R47</f>
        <v>0</v>
      </c>
      <c r="Z47" s="983">
        <f aca="true" t="shared" si="21" ref="Z47:Z49">IF(X$47&lt;&gt;"",SUM(S47+X$47),S47)</f>
        <v>4500</v>
      </c>
      <c r="AA47" s="984">
        <f>SUM(U47:W47)*T47</f>
        <v>0</v>
      </c>
      <c r="AB47" s="985" t="s">
        <v>158</v>
      </c>
      <c r="AZ47" s="34"/>
    </row>
    <row r="48" spans="1:52" ht="15" customHeight="1">
      <c r="A48" s="1"/>
      <c r="B48" s="955"/>
      <c r="C48" s="956">
        <v>5451</v>
      </c>
      <c r="D48" s="956">
        <v>6250</v>
      </c>
      <c r="E48" s="957"/>
      <c r="F48" s="957"/>
      <c r="G48" s="958"/>
      <c r="H48" s="950" t="s">
        <v>161</v>
      </c>
      <c r="I48" s="1"/>
      <c r="J48" s="1"/>
      <c r="K48" s="955"/>
      <c r="L48" s="957"/>
      <c r="M48" s="957">
        <f aca="true" t="shared" si="22" ref="M48:M50">M47</f>
        <v>-600</v>
      </c>
      <c r="N48" s="957">
        <f aca="true" t="shared" si="23" ref="N48:N50">N47</f>
        <v>-600</v>
      </c>
      <c r="O48" s="957">
        <f aca="true" t="shared" si="24" ref="O48:O50">O47</f>
        <v>-1800</v>
      </c>
      <c r="P48" s="957">
        <f>IF(T47=1,"B","")</f>
        <v>0</v>
      </c>
      <c r="Q48" s="968">
        <f aca="true" t="shared" si="25" ref="Q48:Q50">IF(T$47=1,IF(L$47&gt;=Y48,IF(L$47&lt;=Z48,1,""),""),"")</f>
        <v>0</v>
      </c>
      <c r="R48" s="969">
        <f t="shared" si="0"/>
        <v>4501</v>
      </c>
      <c r="S48" s="969">
        <f t="shared" si="12"/>
        <v>5450</v>
      </c>
      <c r="T48" s="957"/>
      <c r="U48" s="957"/>
      <c r="V48" s="957"/>
      <c r="W48" s="958"/>
      <c r="X48" s="970"/>
      <c r="Y48" s="957">
        <f aca="true" t="shared" si="26" ref="Y48:Y50">Z47+1</f>
        <v>4501</v>
      </c>
      <c r="Z48" s="957">
        <f t="shared" si="21"/>
        <v>5450</v>
      </c>
      <c r="AA48" s="971"/>
      <c r="AB48" s="985" t="s">
        <v>160</v>
      </c>
      <c r="AZ48" s="34"/>
    </row>
    <row r="49" spans="1:52" ht="15" customHeight="1">
      <c r="A49" s="1"/>
      <c r="B49" s="972"/>
      <c r="C49" s="973">
        <v>6251</v>
      </c>
      <c r="D49" s="973">
        <v>999999</v>
      </c>
      <c r="E49" s="957"/>
      <c r="F49" s="957"/>
      <c r="G49" s="958"/>
      <c r="H49" s="950" t="s">
        <v>163</v>
      </c>
      <c r="I49" s="1"/>
      <c r="J49" s="1"/>
      <c r="K49" s="955"/>
      <c r="L49" s="957"/>
      <c r="M49" s="957">
        <f t="shared" si="22"/>
        <v>-600</v>
      </c>
      <c r="N49" s="957">
        <f t="shared" si="23"/>
        <v>-600</v>
      </c>
      <c r="O49" s="957">
        <f t="shared" si="24"/>
        <v>-1800</v>
      </c>
      <c r="P49" s="957">
        <f>IF(T47=1,"C","")</f>
        <v>0</v>
      </c>
      <c r="Q49" s="968">
        <f t="shared" si="25"/>
        <v>0</v>
      </c>
      <c r="R49" s="969">
        <f t="shared" si="0"/>
        <v>5451</v>
      </c>
      <c r="S49" s="969">
        <f t="shared" si="12"/>
        <v>6250</v>
      </c>
      <c r="T49" s="957"/>
      <c r="U49" s="957"/>
      <c r="V49" s="957"/>
      <c r="W49" s="958"/>
      <c r="X49" s="970"/>
      <c r="Y49" s="957">
        <f t="shared" si="26"/>
        <v>5451</v>
      </c>
      <c r="Z49" s="957">
        <f t="shared" si="21"/>
        <v>6250</v>
      </c>
      <c r="AA49" s="971"/>
      <c r="AB49" s="985" t="s">
        <v>161</v>
      </c>
      <c r="AZ49" s="34"/>
    </row>
    <row r="50" spans="1:52" ht="15" customHeight="1">
      <c r="A50" s="1"/>
      <c r="B50" s="987">
        <v>5</v>
      </c>
      <c r="C50" s="948">
        <v>0</v>
      </c>
      <c r="D50" s="948">
        <v>5600</v>
      </c>
      <c r="E50" s="948">
        <v>-2200</v>
      </c>
      <c r="F50" s="948">
        <v>-600</v>
      </c>
      <c r="G50" s="949">
        <v>-600</v>
      </c>
      <c r="H50" s="950" t="s">
        <v>158</v>
      </c>
      <c r="I50" s="1"/>
      <c r="J50" s="1"/>
      <c r="K50" s="972"/>
      <c r="L50" s="974"/>
      <c r="M50" s="957">
        <f t="shared" si="22"/>
        <v>-600</v>
      </c>
      <c r="N50" s="957">
        <f t="shared" si="23"/>
        <v>-600</v>
      </c>
      <c r="O50" s="957">
        <f t="shared" si="24"/>
        <v>-1800</v>
      </c>
      <c r="P50" s="974">
        <f>IF(T47=1,"D","")</f>
        <v>0</v>
      </c>
      <c r="Q50" s="968">
        <f t="shared" si="25"/>
        <v>0</v>
      </c>
      <c r="R50" s="969">
        <f t="shared" si="0"/>
        <v>6251</v>
      </c>
      <c r="S50" s="969">
        <f t="shared" si="12"/>
        <v>999999</v>
      </c>
      <c r="T50" s="974"/>
      <c r="U50" s="974"/>
      <c r="V50" s="974"/>
      <c r="W50" s="975"/>
      <c r="X50" s="988"/>
      <c r="Y50" s="974">
        <f t="shared" si="26"/>
        <v>6251</v>
      </c>
      <c r="Z50" s="974">
        <f>S50</f>
        <v>999999</v>
      </c>
      <c r="AA50" s="976"/>
      <c r="AB50" s="46" t="s">
        <v>163</v>
      </c>
      <c r="AZ50" s="34"/>
    </row>
    <row r="51" spans="1:52" ht="15" customHeight="1">
      <c r="A51" s="1"/>
      <c r="B51" s="970"/>
      <c r="C51" s="956">
        <v>5601</v>
      </c>
      <c r="D51" s="956">
        <v>6600</v>
      </c>
      <c r="E51" s="957"/>
      <c r="F51" s="957"/>
      <c r="G51" s="958"/>
      <c r="H51" s="950" t="s">
        <v>160</v>
      </c>
      <c r="I51" s="1"/>
      <c r="J51" s="1"/>
      <c r="K51" s="989">
        <f>B50</f>
        <v>5</v>
      </c>
      <c r="L51" s="979">
        <f>'household+building'!Q$42</f>
        <v>0</v>
      </c>
      <c r="M51" s="969">
        <v>-600</v>
      </c>
      <c r="N51" s="969">
        <f>G50</f>
        <v>-600</v>
      </c>
      <c r="O51" s="969">
        <f>E50</f>
        <v>-2200</v>
      </c>
      <c r="P51" s="969">
        <f>IF(T51=1,"A","")</f>
        <v>0</v>
      </c>
      <c r="Q51" s="980">
        <f>IF(T$51=1,IF(L$51&lt;=Z$51,1,""),"")</f>
        <v>0</v>
      </c>
      <c r="R51" s="969">
        <f t="shared" si="0"/>
        <v>0</v>
      </c>
      <c r="S51" s="969">
        <f t="shared" si="12"/>
        <v>5600</v>
      </c>
      <c r="T51" s="969">
        <f>IF('household+building'!G$26&gt;=K51,1,0)</f>
        <v>0</v>
      </c>
      <c r="U51" s="969">
        <f>IF('household+building'!I$47="j",M51,"")</f>
        <v>0</v>
      </c>
      <c r="V51" s="969">
        <f>IF('household+building'!I$48="no",N51,"")</f>
        <v>0</v>
      </c>
      <c r="W51" s="981">
        <f>IF('household+building'!I$46="no",O51,"")</f>
        <v>0</v>
      </c>
      <c r="X51" s="982">
        <f>SUM(U51:W51)</f>
        <v>0</v>
      </c>
      <c r="Y51" s="969">
        <f>R51</f>
        <v>0</v>
      </c>
      <c r="Z51" s="983">
        <f aca="true" t="shared" si="27" ref="Z51:Z53">IF(X$47&lt;&gt;"",SUM(S51+X$47),S51)</f>
        <v>5600</v>
      </c>
      <c r="AA51" s="984">
        <f>SUM(U51:W51)*T51</f>
        <v>0</v>
      </c>
      <c r="AB51" s="986" t="s">
        <v>158</v>
      </c>
      <c r="AZ51" s="34"/>
    </row>
    <row r="52" spans="1:52" ht="15" customHeight="1">
      <c r="A52" s="1"/>
      <c r="B52" s="970"/>
      <c r="C52" s="956">
        <v>6601</v>
      </c>
      <c r="D52" s="956">
        <v>7500</v>
      </c>
      <c r="E52" s="957"/>
      <c r="F52" s="957"/>
      <c r="G52" s="958"/>
      <c r="H52" s="950" t="s">
        <v>161</v>
      </c>
      <c r="I52" s="1"/>
      <c r="J52" s="1"/>
      <c r="K52" s="955"/>
      <c r="L52" s="957"/>
      <c r="M52" s="957">
        <f aca="true" t="shared" si="28" ref="M52:M54">M51</f>
        <v>-600</v>
      </c>
      <c r="N52" s="957">
        <f aca="true" t="shared" si="29" ref="N52:N54">N51</f>
        <v>-600</v>
      </c>
      <c r="O52" s="957">
        <f aca="true" t="shared" si="30" ref="O52:O54">O51</f>
        <v>-2200</v>
      </c>
      <c r="P52" s="957">
        <f>IF(T51=1,"B","")</f>
        <v>0</v>
      </c>
      <c r="Q52" s="968">
        <f aca="true" t="shared" si="31" ref="Q52:Q54">IF(T$51=1,IF(L$51&gt;=Y52,IF(L$51&lt;=Z52,1,""),""),"")</f>
        <v>0</v>
      </c>
      <c r="R52" s="969">
        <f t="shared" si="0"/>
        <v>5601</v>
      </c>
      <c r="S52" s="969">
        <f t="shared" si="12"/>
        <v>6600</v>
      </c>
      <c r="T52" s="957"/>
      <c r="U52" s="957"/>
      <c r="V52" s="957"/>
      <c r="W52" s="958"/>
      <c r="X52" s="970"/>
      <c r="Y52" s="957">
        <f aca="true" t="shared" si="32" ref="Y52:Y54">Z51+1</f>
        <v>5601</v>
      </c>
      <c r="Z52" s="957">
        <f t="shared" si="27"/>
        <v>6600</v>
      </c>
      <c r="AA52" s="971"/>
      <c r="AB52" s="967" t="s">
        <v>160</v>
      </c>
      <c r="AZ52" s="34"/>
    </row>
    <row r="53" spans="1:52" ht="15" customHeight="1">
      <c r="A53" s="1"/>
      <c r="B53" s="988"/>
      <c r="C53" s="973">
        <v>7501</v>
      </c>
      <c r="D53" s="973">
        <v>999999</v>
      </c>
      <c r="E53" s="974"/>
      <c r="F53" s="974"/>
      <c r="G53" s="975"/>
      <c r="H53" s="950" t="s">
        <v>163</v>
      </c>
      <c r="I53" s="1"/>
      <c r="J53" s="1"/>
      <c r="K53" s="955"/>
      <c r="L53" s="957"/>
      <c r="M53" s="957">
        <f t="shared" si="28"/>
        <v>-600</v>
      </c>
      <c r="N53" s="957">
        <f t="shared" si="29"/>
        <v>-600</v>
      </c>
      <c r="O53" s="957">
        <f t="shared" si="30"/>
        <v>-2200</v>
      </c>
      <c r="P53" s="957">
        <f>IF(T51=1,"C","")</f>
        <v>0</v>
      </c>
      <c r="Q53" s="968">
        <f t="shared" si="31"/>
        <v>0</v>
      </c>
      <c r="R53" s="969">
        <f t="shared" si="0"/>
        <v>6601</v>
      </c>
      <c r="S53" s="969">
        <f t="shared" si="12"/>
        <v>7500</v>
      </c>
      <c r="T53" s="957"/>
      <c r="U53" s="957"/>
      <c r="V53" s="957"/>
      <c r="W53" s="958"/>
      <c r="X53" s="970"/>
      <c r="Y53" s="957">
        <f t="shared" si="32"/>
        <v>6601</v>
      </c>
      <c r="Z53" s="957">
        <f t="shared" si="27"/>
        <v>7500</v>
      </c>
      <c r="AA53" s="971"/>
      <c r="AB53" s="967" t="s">
        <v>161</v>
      </c>
      <c r="AZ53" s="34"/>
    </row>
    <row r="54" spans="1:52" ht="15" customHeight="1">
      <c r="A54" s="1"/>
      <c r="I54" s="1"/>
      <c r="J54" s="1"/>
      <c r="K54" s="972"/>
      <c r="L54" s="974"/>
      <c r="M54" s="974">
        <f t="shared" si="28"/>
        <v>-600</v>
      </c>
      <c r="N54" s="974">
        <f t="shared" si="29"/>
        <v>-600</v>
      </c>
      <c r="O54" s="974">
        <f t="shared" si="30"/>
        <v>-2200</v>
      </c>
      <c r="P54" s="974">
        <f>IF(T51=1,"D","")</f>
        <v>0</v>
      </c>
      <c r="Q54" s="990">
        <f t="shared" si="31"/>
        <v>0</v>
      </c>
      <c r="R54" s="969">
        <f t="shared" si="0"/>
        <v>7501</v>
      </c>
      <c r="S54" s="969">
        <f t="shared" si="12"/>
        <v>999999</v>
      </c>
      <c r="T54" s="974"/>
      <c r="U54" s="974"/>
      <c r="V54" s="974"/>
      <c r="W54" s="975"/>
      <c r="X54" s="988"/>
      <c r="Y54" s="974">
        <f t="shared" si="32"/>
        <v>7501</v>
      </c>
      <c r="Z54" s="974">
        <f>S54</f>
        <v>999999</v>
      </c>
      <c r="AA54" s="976"/>
      <c r="AB54" s="977" t="s">
        <v>163</v>
      </c>
      <c r="AZ54" s="34"/>
    </row>
    <row r="57" ht="12.75">
      <c r="A57" s="935" t="s">
        <v>861</v>
      </c>
    </row>
    <row r="58" ht="12.75">
      <c r="G58" s="991"/>
    </row>
    <row r="59" spans="2:11" ht="12.75">
      <c r="B59" s="992" t="s">
        <v>154</v>
      </c>
      <c r="C59" s="992"/>
      <c r="D59" s="992"/>
      <c r="E59" s="992"/>
      <c r="F59" s="993" t="s">
        <v>178</v>
      </c>
      <c r="G59" s="993"/>
      <c r="H59" s="178"/>
      <c r="J59" s="62">
        <v>40</v>
      </c>
      <c r="K59" s="62" t="s">
        <v>862</v>
      </c>
    </row>
    <row r="60" spans="2:8" ht="12.75">
      <c r="B60" s="994" t="s">
        <v>180</v>
      </c>
      <c r="C60" s="994"/>
      <c r="D60" s="994"/>
      <c r="E60" s="994"/>
      <c r="F60" s="995" t="s">
        <v>181</v>
      </c>
      <c r="G60" s="995"/>
      <c r="H60" s="996"/>
    </row>
    <row r="61" spans="2:8" ht="12.75">
      <c r="B61" s="997" t="s">
        <v>158</v>
      </c>
      <c r="C61" s="997"/>
      <c r="D61" s="997"/>
      <c r="E61" s="997"/>
      <c r="F61" s="998" t="s">
        <v>183</v>
      </c>
      <c r="G61" s="998"/>
      <c r="H61" s="996"/>
    </row>
    <row r="62" spans="2:8" ht="12.75">
      <c r="B62" s="997" t="s">
        <v>184</v>
      </c>
      <c r="C62" s="997"/>
      <c r="D62" s="997"/>
      <c r="E62" s="997" t="s">
        <v>185</v>
      </c>
      <c r="F62" s="998" t="s">
        <v>186</v>
      </c>
      <c r="G62" s="998"/>
      <c r="H62" s="996"/>
    </row>
    <row r="63" spans="2:8" ht="12.75">
      <c r="B63" s="997" t="s">
        <v>161</v>
      </c>
      <c r="C63" s="997"/>
      <c r="D63" s="997"/>
      <c r="E63" s="997" t="s">
        <v>187</v>
      </c>
      <c r="F63" s="998" t="s">
        <v>188</v>
      </c>
      <c r="G63" s="998"/>
      <c r="H63" s="996"/>
    </row>
    <row r="64" spans="2:8" ht="12.75">
      <c r="B64" s="999" t="s">
        <v>163</v>
      </c>
      <c r="C64" s="999"/>
      <c r="D64" s="999"/>
      <c r="E64" s="999" t="s">
        <v>189</v>
      </c>
      <c r="F64" s="1000" t="s">
        <v>190</v>
      </c>
      <c r="G64" s="1000"/>
      <c r="H64" s="996"/>
    </row>
    <row r="67" ht="12.75">
      <c r="A67" s="935" t="s">
        <v>863</v>
      </c>
    </row>
    <row r="68" ht="12.75">
      <c r="G68" s="991"/>
    </row>
    <row r="69" spans="2:23" s="62" customFormat="1" ht="11.25">
      <c r="B69" s="62" t="s">
        <v>864</v>
      </c>
      <c r="C69" s="236" t="s">
        <v>865</v>
      </c>
      <c r="D69" s="1001" t="s">
        <v>866</v>
      </c>
      <c r="E69" s="1002" t="s">
        <v>867</v>
      </c>
      <c r="F69" s="1001" t="s">
        <v>868</v>
      </c>
      <c r="G69" s="1002" t="s">
        <v>867</v>
      </c>
      <c r="H69" s="1001" t="s">
        <v>161</v>
      </c>
      <c r="I69" s="1002" t="s">
        <v>867</v>
      </c>
      <c r="J69" s="1001" t="s">
        <v>869</v>
      </c>
      <c r="K69" s="1002" t="s">
        <v>867</v>
      </c>
      <c r="L69" s="1002"/>
      <c r="M69" s="62" t="s">
        <v>865</v>
      </c>
      <c r="N69" s="424" t="s">
        <v>870</v>
      </c>
      <c r="O69" s="424"/>
      <c r="P69" s="1002"/>
      <c r="R69" s="1002"/>
      <c r="S69" s="1002" t="s">
        <v>871</v>
      </c>
      <c r="T69" s="424" t="s">
        <v>870</v>
      </c>
      <c r="U69" s="1002"/>
      <c r="V69" s="1002" t="s">
        <v>871</v>
      </c>
      <c r="W69" s="1002"/>
    </row>
    <row r="70" spans="2:23" s="62" customFormat="1" ht="12.75">
      <c r="B70" s="1003" t="s">
        <v>872</v>
      </c>
      <c r="C70" s="1004" t="s">
        <v>873</v>
      </c>
      <c r="D70" s="1004" t="s">
        <v>874</v>
      </c>
      <c r="E70" s="1005">
        <v>90</v>
      </c>
      <c r="F70" s="1006">
        <v>91</v>
      </c>
      <c r="G70" s="1005">
        <v>155</v>
      </c>
      <c r="H70" s="1006">
        <v>156</v>
      </c>
      <c r="I70" s="1007">
        <v>240</v>
      </c>
      <c r="J70" s="1006">
        <v>241</v>
      </c>
      <c r="K70" s="1008" t="s">
        <v>875</v>
      </c>
      <c r="L70"/>
      <c r="M70" s="1009" t="s">
        <v>876</v>
      </c>
      <c r="N70" s="1010">
        <v>0</v>
      </c>
      <c r="O70" s="1011">
        <f>E70</f>
        <v>90</v>
      </c>
      <c r="P70" s="1012">
        <f>IF('household+building'!$G$11='household+building'!$Y$10,1,0)+IF('household+building'!$G$11='household+building'!$Y$11,1,0)</f>
        <v>0</v>
      </c>
      <c r="Q70" s="1013">
        <f>IF(P$70=1,"A","")</f>
        <v>0</v>
      </c>
      <c r="R70" s="1011">
        <f>IF(P$70=1,IF('household+building'!Q$92&lt;='data price+co2+consumption'!O70,1,""),"")</f>
        <v>0</v>
      </c>
      <c r="S70" s="1014" t="s">
        <v>866</v>
      </c>
      <c r="T70" s="1015">
        <f aca="true" t="shared" si="33" ref="T70:T85">N70</f>
        <v>0</v>
      </c>
      <c r="U70" s="1015">
        <f aca="true" t="shared" si="34" ref="U70:U85">O70</f>
        <v>90</v>
      </c>
      <c r="V70" s="1016" t="s">
        <v>866</v>
      </c>
      <c r="W70" s="1017"/>
    </row>
    <row r="71" spans="2:23" s="62" customFormat="1" ht="12.75">
      <c r="B71" s="1018" t="s">
        <v>50</v>
      </c>
      <c r="C71" s="1019" t="s">
        <v>877</v>
      </c>
      <c r="D71" s="1019" t="s">
        <v>874</v>
      </c>
      <c r="E71" s="1020">
        <v>85</v>
      </c>
      <c r="F71" s="1021">
        <v>86</v>
      </c>
      <c r="G71" s="1020">
        <v>150</v>
      </c>
      <c r="H71" s="1021">
        <v>151</v>
      </c>
      <c r="I71" s="1022">
        <v>230</v>
      </c>
      <c r="J71" s="1021">
        <v>231</v>
      </c>
      <c r="K71" s="1023" t="s">
        <v>875</v>
      </c>
      <c r="L71"/>
      <c r="M71" s="1024" t="s">
        <v>873</v>
      </c>
      <c r="N71" s="1025">
        <f>F70</f>
        <v>91</v>
      </c>
      <c r="O71" s="1025">
        <f>G70</f>
        <v>155</v>
      </c>
      <c r="P71" s="1026"/>
      <c r="Q71" s="1027">
        <f>IF(P$70=1,"B","")</f>
        <v>0</v>
      </c>
      <c r="R71" s="1025">
        <f>IF(P$70=1,IF('household+building'!Q$92&gt;=N71,IF('household+building'!Q$92&lt;=O71,1,""),""),"")</f>
        <v>0</v>
      </c>
      <c r="S71" s="1028" t="s">
        <v>184</v>
      </c>
      <c r="T71" s="1029">
        <f t="shared" si="33"/>
        <v>91</v>
      </c>
      <c r="U71" s="1029">
        <f t="shared" si="34"/>
        <v>155</v>
      </c>
      <c r="V71" s="1030" t="s">
        <v>184</v>
      </c>
      <c r="W71" s="1017"/>
    </row>
    <row r="72" spans="2:23" s="62" customFormat="1" ht="12.75">
      <c r="B72" s="1031" t="s">
        <v>55</v>
      </c>
      <c r="C72" s="1019" t="s">
        <v>878</v>
      </c>
      <c r="D72" s="1019" t="s">
        <v>874</v>
      </c>
      <c r="E72" s="1020">
        <v>82</v>
      </c>
      <c r="F72" s="1021">
        <v>83</v>
      </c>
      <c r="G72" s="1020">
        <v>142</v>
      </c>
      <c r="H72" s="1021">
        <v>143</v>
      </c>
      <c r="I72" s="1022">
        <v>220</v>
      </c>
      <c r="J72" s="1021">
        <v>221</v>
      </c>
      <c r="K72" s="1023" t="s">
        <v>875</v>
      </c>
      <c r="L72"/>
      <c r="M72" s="1032"/>
      <c r="N72" s="1025">
        <f>H70</f>
        <v>156</v>
      </c>
      <c r="O72" s="1025">
        <f>I70</f>
        <v>240</v>
      </c>
      <c r="P72" s="1026"/>
      <c r="Q72" s="1027">
        <f>IF(P$70=1,"C","")</f>
        <v>0</v>
      </c>
      <c r="R72" s="1025">
        <f>IF(P$70=1,IF('household+building'!Q$92&gt;=N72,IF('household+building'!Q$92&lt;=O72,1,""),""),"")</f>
        <v>0</v>
      </c>
      <c r="S72" s="1028" t="s">
        <v>161</v>
      </c>
      <c r="T72" s="1029">
        <f t="shared" si="33"/>
        <v>156</v>
      </c>
      <c r="U72" s="1029">
        <f t="shared" si="34"/>
        <v>240</v>
      </c>
      <c r="V72" s="1030" t="s">
        <v>161</v>
      </c>
      <c r="W72" s="1017"/>
    </row>
    <row r="73" spans="2:23" s="62" customFormat="1" ht="12.75">
      <c r="B73" s="1033" t="s">
        <v>59</v>
      </c>
      <c r="C73" s="1034" t="s">
        <v>879</v>
      </c>
      <c r="D73" s="1034" t="s">
        <v>874</v>
      </c>
      <c r="E73" s="1035">
        <v>80</v>
      </c>
      <c r="F73" s="1036">
        <v>81</v>
      </c>
      <c r="G73" s="1035">
        <v>140</v>
      </c>
      <c r="H73" s="1036">
        <v>141</v>
      </c>
      <c r="I73" s="1037">
        <v>215</v>
      </c>
      <c r="J73" s="1036">
        <v>216</v>
      </c>
      <c r="K73" s="1038" t="s">
        <v>875</v>
      </c>
      <c r="L73"/>
      <c r="M73" s="1039"/>
      <c r="N73" s="1040">
        <f>J70</f>
        <v>241</v>
      </c>
      <c r="O73" s="1040">
        <v>9999</v>
      </c>
      <c r="P73" s="1041"/>
      <c r="Q73" s="1042">
        <f>IF(P$70=1,"D","")</f>
        <v>0</v>
      </c>
      <c r="R73" s="1040">
        <f>IF(P$70=1,IF('household+building'!Q$92&gt;=N73,1,""),"")</f>
        <v>0</v>
      </c>
      <c r="S73" s="1043" t="s">
        <v>869</v>
      </c>
      <c r="T73" s="1044">
        <f t="shared" si="33"/>
        <v>241</v>
      </c>
      <c r="U73" s="1044">
        <f t="shared" si="34"/>
        <v>9999</v>
      </c>
      <c r="V73" s="1045" t="s">
        <v>869</v>
      </c>
      <c r="W73" s="1017"/>
    </row>
    <row r="74" spans="2:23" s="62" customFormat="1" ht="12.75">
      <c r="B74"/>
      <c r="C74"/>
      <c r="D74"/>
      <c r="E74"/>
      <c r="F74"/>
      <c r="G74"/>
      <c r="H74"/>
      <c r="I74"/>
      <c r="J74"/>
      <c r="K74"/>
      <c r="L74"/>
      <c r="M74" s="1046" t="s">
        <v>880</v>
      </c>
      <c r="N74" s="1015">
        <v>0</v>
      </c>
      <c r="O74" s="1015">
        <f>E71</f>
        <v>85</v>
      </c>
      <c r="P74" s="1012">
        <f>IF('household+building'!$G$11='household+building'!$Y$12,1,0)</f>
        <v>0</v>
      </c>
      <c r="Q74" s="1013">
        <f>IF(P$74=1,"A","")</f>
        <v>0</v>
      </c>
      <c r="R74" s="1011">
        <f>IF(P$74=1,IF('household+building'!Q$92&lt;='data price+co2+consumption'!O74,1,""),"")</f>
        <v>0</v>
      </c>
      <c r="S74" s="1014" t="s">
        <v>866</v>
      </c>
      <c r="T74" s="1015">
        <f t="shared" si="33"/>
        <v>0</v>
      </c>
      <c r="U74" s="1015">
        <f t="shared" si="34"/>
        <v>85</v>
      </c>
      <c r="V74" s="1016" t="s">
        <v>866</v>
      </c>
      <c r="W74" s="685"/>
    </row>
    <row r="75" spans="2:23" s="62" customFormat="1" ht="12.75">
      <c r="B75"/>
      <c r="C75" s="907"/>
      <c r="D75" s="1047"/>
      <c r="E75"/>
      <c r="F75"/>
      <c r="G75"/>
      <c r="H75"/>
      <c r="I75"/>
      <c r="J75"/>
      <c r="K75"/>
      <c r="L75"/>
      <c r="M75" s="1024" t="s">
        <v>877</v>
      </c>
      <c r="N75" s="1048">
        <f>F71</f>
        <v>86</v>
      </c>
      <c r="O75" s="1048">
        <f>G71</f>
        <v>150</v>
      </c>
      <c r="P75" s="1026"/>
      <c r="Q75" s="1027">
        <f>IF(P$74=1,"B","")</f>
        <v>0</v>
      </c>
      <c r="R75" s="1025">
        <f>IF(P$74=1,IF('household+building'!Q$92&gt;=N75,IF('household+building'!Q$92&lt;=O75,1,""),""),"")</f>
        <v>0</v>
      </c>
      <c r="S75" s="1028" t="s">
        <v>184</v>
      </c>
      <c r="T75" s="1029">
        <f t="shared" si="33"/>
        <v>86</v>
      </c>
      <c r="U75" s="1029">
        <f t="shared" si="34"/>
        <v>150</v>
      </c>
      <c r="V75" s="1030" t="s">
        <v>184</v>
      </c>
      <c r="W75" s="1017"/>
    </row>
    <row r="76" spans="2:23" s="62" customFormat="1" ht="12.75">
      <c r="B76" s="62" t="s">
        <v>864</v>
      </c>
      <c r="C76" s="62" t="s">
        <v>881</v>
      </c>
      <c r="D76" s="62" t="s">
        <v>882</v>
      </c>
      <c r="E76"/>
      <c r="F76"/>
      <c r="G76"/>
      <c r="H76"/>
      <c r="I76"/>
      <c r="J76"/>
      <c r="K76"/>
      <c r="L76"/>
      <c r="M76" s="1032"/>
      <c r="N76" s="1048">
        <f>H71</f>
        <v>151</v>
      </c>
      <c r="O76" s="1048">
        <f>I71</f>
        <v>230</v>
      </c>
      <c r="P76" s="1026"/>
      <c r="Q76" s="1027">
        <f>IF(P$74=1,"C","")</f>
        <v>0</v>
      </c>
      <c r="R76" s="1025">
        <f>IF(P$74=1,IF('household+building'!Q$92&gt;=N76,IF('household+building'!Q$92&lt;=O76,1,""),""),"")</f>
        <v>0</v>
      </c>
      <c r="S76" s="1028" t="s">
        <v>161</v>
      </c>
      <c r="T76" s="1029">
        <f t="shared" si="33"/>
        <v>151</v>
      </c>
      <c r="U76" s="1029">
        <f t="shared" si="34"/>
        <v>230</v>
      </c>
      <c r="V76" s="1030" t="s">
        <v>161</v>
      </c>
      <c r="W76" s="1017"/>
    </row>
    <row r="77" spans="2:23" s="62" customFormat="1" ht="12.75">
      <c r="B77" s="1003">
        <f>'household+building'!Y10</f>
        <v>0</v>
      </c>
      <c r="C77" s="1049" t="s">
        <v>883</v>
      </c>
      <c r="D77" s="1050"/>
      <c r="E77" s="1050"/>
      <c r="F77" s="1050"/>
      <c r="G77" s="1051">
        <f aca="true" t="shared" si="35" ref="G77:G78">((F$70+G$70)/2+(H$70+I$70)/2)/2</f>
        <v>160.5</v>
      </c>
      <c r="H77" s="1052" t="s">
        <v>870</v>
      </c>
      <c r="I77"/>
      <c r="J77"/>
      <c r="K77"/>
      <c r="L77"/>
      <c r="M77" s="1039"/>
      <c r="N77" s="1053">
        <f>J71</f>
        <v>231</v>
      </c>
      <c r="O77" s="1053">
        <v>9999</v>
      </c>
      <c r="P77" s="1041"/>
      <c r="Q77" s="1042">
        <f>IF(P$74=1,"D","")</f>
        <v>0</v>
      </c>
      <c r="R77" s="1040">
        <f>IF(P$74=1,IF('household+building'!Q$92&gt;=N77,1,""),"")</f>
        <v>0</v>
      </c>
      <c r="S77" s="1043" t="s">
        <v>869</v>
      </c>
      <c r="T77" s="1044">
        <f t="shared" si="33"/>
        <v>231</v>
      </c>
      <c r="U77" s="1044">
        <f t="shared" si="34"/>
        <v>9999</v>
      </c>
      <c r="V77" s="1045" t="s">
        <v>869</v>
      </c>
      <c r="W77" s="1017"/>
    </row>
    <row r="78" spans="2:23" s="62" customFormat="1" ht="12.75">
      <c r="B78" s="1054">
        <f>'household+building'!Y11</f>
        <v>0</v>
      </c>
      <c r="C78" s="424" t="s">
        <v>883</v>
      </c>
      <c r="D78" s="1017"/>
      <c r="E78" s="1017"/>
      <c r="F78" s="1017"/>
      <c r="G78" s="1055">
        <f t="shared" si="35"/>
        <v>160.5</v>
      </c>
      <c r="H78" s="1056" t="s">
        <v>870</v>
      </c>
      <c r="I78"/>
      <c r="J78"/>
      <c r="K78"/>
      <c r="L78"/>
      <c r="M78" s="1057" t="s">
        <v>884</v>
      </c>
      <c r="N78" s="1058">
        <v>0</v>
      </c>
      <c r="O78" s="1058">
        <f>E72</f>
        <v>82</v>
      </c>
      <c r="P78" s="424">
        <f>IF('household+building'!$G$11='household+building'!$Y$13,1,0)</f>
        <v>0</v>
      </c>
      <c r="Q78" s="1033">
        <f>IF(P$78=1,"A","")</f>
        <v>0</v>
      </c>
      <c r="R78" s="1059">
        <f>IF(P$78=1,IF('household+building'!Q$92&lt;='data price+co2+consumption'!O78,1,""),"")</f>
        <v>0</v>
      </c>
      <c r="S78" s="1060" t="s">
        <v>866</v>
      </c>
      <c r="T78" s="1058">
        <f t="shared" si="33"/>
        <v>0</v>
      </c>
      <c r="U78" s="1058">
        <f t="shared" si="34"/>
        <v>82</v>
      </c>
      <c r="V78" s="1061" t="s">
        <v>866</v>
      </c>
      <c r="W78" s="685"/>
    </row>
    <row r="79" spans="2:23" s="62" customFormat="1" ht="12.75">
      <c r="B79" s="1054">
        <f>'household+building'!Y12</f>
        <v>0</v>
      </c>
      <c r="C79" s="424" t="s">
        <v>885</v>
      </c>
      <c r="D79" s="1017"/>
      <c r="E79" s="1017"/>
      <c r="F79" s="1017"/>
      <c r="G79" s="1055">
        <f>((F$71+G$71)/2+(H$71+I$71)/2)/2</f>
        <v>154.25</v>
      </c>
      <c r="H79" s="1056" t="s">
        <v>870</v>
      </c>
      <c r="I79"/>
      <c r="J79"/>
      <c r="K79"/>
      <c r="L79"/>
      <c r="M79" s="1024" t="s">
        <v>878</v>
      </c>
      <c r="N79" s="1048">
        <f>F72</f>
        <v>83</v>
      </c>
      <c r="O79" s="1048">
        <f>G72</f>
        <v>142</v>
      </c>
      <c r="P79" s="1026"/>
      <c r="Q79" s="1027">
        <f>IF(P$78=1,"B","")</f>
        <v>0</v>
      </c>
      <c r="R79" s="1025">
        <f>IF(P$78=1,IF('household+building'!Q$92&gt;=N79,IF('household+building'!Q$92&lt;=O79,1,""),""),"")</f>
        <v>0</v>
      </c>
      <c r="S79" s="1028" t="s">
        <v>184</v>
      </c>
      <c r="T79" s="1029">
        <f t="shared" si="33"/>
        <v>83</v>
      </c>
      <c r="U79" s="1029">
        <f t="shared" si="34"/>
        <v>142</v>
      </c>
      <c r="V79" s="1030" t="s">
        <v>184</v>
      </c>
      <c r="W79" s="1017"/>
    </row>
    <row r="80" spans="2:23" s="62" customFormat="1" ht="11.25" customHeight="1">
      <c r="B80" s="1054">
        <f>'household+building'!Y13</f>
        <v>0</v>
      </c>
      <c r="C80" s="424" t="s">
        <v>886</v>
      </c>
      <c r="D80" s="1017"/>
      <c r="E80" s="1017"/>
      <c r="F80" s="1017"/>
      <c r="G80" s="1055">
        <f>((F$72+G$72)/2+(H$72+I$72)/2)/2</f>
        <v>147</v>
      </c>
      <c r="H80" s="1056" t="s">
        <v>870</v>
      </c>
      <c r="I80"/>
      <c r="J80"/>
      <c r="K80"/>
      <c r="L80"/>
      <c r="M80" s="1032"/>
      <c r="N80" s="1048">
        <f>H72</f>
        <v>143</v>
      </c>
      <c r="O80" s="1048">
        <f>I72</f>
        <v>220</v>
      </c>
      <c r="P80" s="1026"/>
      <c r="Q80" s="1027">
        <f>IF(P$78=1,"C","")</f>
        <v>0</v>
      </c>
      <c r="R80" s="1025">
        <f>IF(P$78=1,IF('household+building'!Q$92&gt;=N80,IF('household+building'!Q$92&lt;=O80,1,""),""),"")</f>
        <v>0</v>
      </c>
      <c r="S80" s="1028" t="s">
        <v>161</v>
      </c>
      <c r="T80" s="1029">
        <f t="shared" si="33"/>
        <v>143</v>
      </c>
      <c r="U80" s="1029">
        <f t="shared" si="34"/>
        <v>220</v>
      </c>
      <c r="V80" s="1030" t="s">
        <v>161</v>
      </c>
      <c r="W80" s="1017"/>
    </row>
    <row r="81" spans="2:23" s="62" customFormat="1" ht="12.75">
      <c r="B81" s="1062">
        <f>'household+building'!Y14</f>
        <v>0</v>
      </c>
      <c r="C81" s="614" t="s">
        <v>887</v>
      </c>
      <c r="D81" s="1063"/>
      <c r="E81" s="1063"/>
      <c r="F81" s="1063"/>
      <c r="G81" s="1064">
        <f>((F$73+G$73)/2+(H$73+I$73)/2)/2</f>
        <v>144.25</v>
      </c>
      <c r="H81" s="1065" t="s">
        <v>870</v>
      </c>
      <c r="I81"/>
      <c r="J81"/>
      <c r="K81"/>
      <c r="L81"/>
      <c r="M81" s="1066"/>
      <c r="N81" s="1067">
        <f>J72</f>
        <v>221</v>
      </c>
      <c r="O81" s="1067">
        <v>9999</v>
      </c>
      <c r="P81" s="1068"/>
      <c r="Q81" s="1069">
        <f>IF(P$78=1,"D","")</f>
        <v>0</v>
      </c>
      <c r="R81" s="1070">
        <f>IF(P$78=1,IF('household+building'!Q$92&gt;=N81,1,""),"")</f>
        <v>0</v>
      </c>
      <c r="S81" s="1049" t="s">
        <v>869</v>
      </c>
      <c r="T81" s="1071">
        <f t="shared" si="33"/>
        <v>221</v>
      </c>
      <c r="U81" s="1071">
        <f t="shared" si="34"/>
        <v>9999</v>
      </c>
      <c r="V81" s="1072" t="s">
        <v>869</v>
      </c>
      <c r="W81" s="1017"/>
    </row>
    <row r="82" spans="2:23" s="62" customFormat="1" ht="12.75">
      <c r="B82"/>
      <c r="C82"/>
      <c r="D82"/>
      <c r="E82"/>
      <c r="F82"/>
      <c r="G82"/>
      <c r="H82"/>
      <c r="I82"/>
      <c r="J82"/>
      <c r="K82"/>
      <c r="L82"/>
      <c r="M82" s="1046" t="s">
        <v>888</v>
      </c>
      <c r="N82" s="1073">
        <v>0</v>
      </c>
      <c r="O82" s="1073">
        <f>E73</f>
        <v>80</v>
      </c>
      <c r="P82" s="1074">
        <f>IF('household+building'!$G$11='household+building'!$Y$14,1,0)</f>
        <v>0</v>
      </c>
      <c r="Q82" s="1013">
        <f>IF(P$82=1,"A","")</f>
        <v>0</v>
      </c>
      <c r="R82" s="1011">
        <f>IF(P$82=1,IF('household+building'!Q$92&lt;='data price+co2+consumption'!O82,1,""),"")</f>
        <v>0</v>
      </c>
      <c r="S82" s="1014" t="s">
        <v>866</v>
      </c>
      <c r="T82" s="1015">
        <f t="shared" si="33"/>
        <v>0</v>
      </c>
      <c r="U82" s="1015">
        <f t="shared" si="34"/>
        <v>80</v>
      </c>
      <c r="V82" s="1016" t="s">
        <v>866</v>
      </c>
      <c r="W82" s="685"/>
    </row>
    <row r="83" spans="2:23" s="62" customFormat="1" ht="12.75">
      <c r="B83" s="62" t="s">
        <v>889</v>
      </c>
      <c r="C83"/>
      <c r="D83"/>
      <c r="E83"/>
      <c r="F83"/>
      <c r="G83"/>
      <c r="H83"/>
      <c r="I83"/>
      <c r="J83"/>
      <c r="K83"/>
      <c r="L83"/>
      <c r="M83" s="1024" t="s">
        <v>879</v>
      </c>
      <c r="N83" s="1048">
        <f>F73</f>
        <v>81</v>
      </c>
      <c r="O83" s="1048">
        <f>G73</f>
        <v>140</v>
      </c>
      <c r="P83" s="1026"/>
      <c r="Q83" s="1027">
        <f>IF(P$82=1,"B","")</f>
        <v>0</v>
      </c>
      <c r="R83" s="1025">
        <f>IF(P$82=1,IF('household+building'!Q$92&gt;=N83,IF('household+building'!Q$92&lt;=O83,1,""),""),"")</f>
        <v>0</v>
      </c>
      <c r="S83" s="1028" t="s">
        <v>184</v>
      </c>
      <c r="T83" s="1029">
        <f t="shared" si="33"/>
        <v>81</v>
      </c>
      <c r="U83" s="1029">
        <f t="shared" si="34"/>
        <v>140</v>
      </c>
      <c r="V83" s="1030" t="s">
        <v>184</v>
      </c>
      <c r="W83"/>
    </row>
    <row r="84" spans="2:23" s="62" customFormat="1" ht="12.75">
      <c r="B84" s="622">
        <f>'household+building'!G11</f>
        <v>0</v>
      </c>
      <c r="C84" s="1075"/>
      <c r="D84"/>
      <c r="E84"/>
      <c r="F84"/>
      <c r="G84"/>
      <c r="H84"/>
      <c r="I84"/>
      <c r="J84"/>
      <c r="K84"/>
      <c r="L84"/>
      <c r="M84" s="1032"/>
      <c r="N84" s="1048">
        <f>H73</f>
        <v>141</v>
      </c>
      <c r="O84" s="1048">
        <f>I73</f>
        <v>215</v>
      </c>
      <c r="P84" s="1026"/>
      <c r="Q84" s="1027">
        <f>IF(P$82=1,"C","")</f>
        <v>0</v>
      </c>
      <c r="R84" s="1025">
        <f>IF(P$82=1,IF('household+building'!Q$92&gt;=N84,IF('household+building'!Q$92&lt;=O84,1,""),""),"")</f>
        <v>0</v>
      </c>
      <c r="S84" s="1028" t="s">
        <v>161</v>
      </c>
      <c r="T84" s="1029">
        <f t="shared" si="33"/>
        <v>141</v>
      </c>
      <c r="U84" s="1029">
        <f t="shared" si="34"/>
        <v>215</v>
      </c>
      <c r="V84" s="1030" t="s">
        <v>161</v>
      </c>
      <c r="W84"/>
    </row>
    <row r="85" spans="2:23" s="62" customFormat="1" ht="12.75">
      <c r="B85" s="62" t="s">
        <v>890</v>
      </c>
      <c r="C85"/>
      <c r="D85"/>
      <c r="E85"/>
      <c r="F85"/>
      <c r="G85"/>
      <c r="H85"/>
      <c r="I85"/>
      <c r="J85"/>
      <c r="K85"/>
      <c r="L85"/>
      <c r="M85" s="1039"/>
      <c r="N85" s="1053">
        <f>J73</f>
        <v>216</v>
      </c>
      <c r="O85" s="1053">
        <v>9999</v>
      </c>
      <c r="P85" s="1041"/>
      <c r="Q85" s="1042">
        <f>IF(P$82=1,"D","")</f>
        <v>0</v>
      </c>
      <c r="R85" s="1040">
        <f>IF(P$82=1,IF('household+building'!Q$92&gt;=N85,1,""),"")</f>
        <v>0</v>
      </c>
      <c r="S85" s="1043" t="s">
        <v>869</v>
      </c>
      <c r="T85" s="1044">
        <f t="shared" si="33"/>
        <v>216</v>
      </c>
      <c r="U85" s="1044">
        <f t="shared" si="34"/>
        <v>9999</v>
      </c>
      <c r="V85" s="1045" t="s">
        <v>869</v>
      </c>
      <c r="W85"/>
    </row>
    <row r="86" spans="2:23" s="62" customFormat="1" ht="12.75">
      <c r="B86" s="525">
        <f>IF('household+building'!H89="yes",SUM('household+building'!J93:K99)-'household+building'!G26*600,SUM('household+building'!J93:K99))</f>
        <v>0</v>
      </c>
      <c r="C86" s="62" t="s">
        <v>147</v>
      </c>
      <c r="D86"/>
      <c r="E86"/>
      <c r="F86"/>
      <c r="G86"/>
      <c r="H86"/>
      <c r="I86"/>
      <c r="J86" s="1076"/>
      <c r="K86"/>
      <c r="L86"/>
      <c r="M86"/>
      <c r="N86"/>
      <c r="O86"/>
      <c r="P86"/>
      <c r="Q86"/>
      <c r="R86"/>
      <c r="S86"/>
      <c r="T86"/>
      <c r="U86"/>
      <c r="V86"/>
      <c r="W86"/>
    </row>
    <row r="87" spans="2:23" s="62" customFormat="1" ht="12.75">
      <c r="B87"/>
      <c r="C87"/>
      <c r="D87"/>
      <c r="E87"/>
      <c r="F87"/>
      <c r="G87"/>
      <c r="H87"/>
      <c r="I87"/>
      <c r="J87"/>
      <c r="K87"/>
      <c r="L87"/>
      <c r="M87"/>
      <c r="N87"/>
      <c r="O87"/>
      <c r="P87"/>
      <c r="Q87"/>
      <c r="R87"/>
      <c r="S87"/>
      <c r="T87"/>
      <c r="U87"/>
      <c r="V87"/>
      <c r="W87"/>
    </row>
    <row r="88" spans="2:23" s="62" customFormat="1" ht="12.75">
      <c r="B88" s="62" t="s">
        <v>891</v>
      </c>
      <c r="C88"/>
      <c r="D88"/>
      <c r="E88"/>
      <c r="F88"/>
      <c r="G88"/>
      <c r="H88"/>
      <c r="I88"/>
      <c r="J88"/>
      <c r="K88"/>
      <c r="L88"/>
      <c r="M88"/>
      <c r="N88"/>
      <c r="O88"/>
      <c r="P88"/>
      <c r="Q88"/>
      <c r="R88"/>
      <c r="S88"/>
      <c r="T88"/>
      <c r="U88"/>
      <c r="V88"/>
      <c r="W88"/>
    </row>
    <row r="89" spans="2:23" s="62" customFormat="1" ht="12" customHeight="1">
      <c r="B89" s="1077">
        <f>IF(B84=B77,G77,IF(B84=B78,G78,IF(B84=B79,G79,IF(B84=B79,G79,IF(B84=B80,G80,IF(B84=B81,G81,0))))))</f>
        <v>0</v>
      </c>
      <c r="C89" s="62" t="s">
        <v>870</v>
      </c>
      <c r="D89"/>
      <c r="E89"/>
      <c r="F89"/>
      <c r="G89"/>
      <c r="H89"/>
      <c r="I89"/>
      <c r="J89"/>
      <c r="K89"/>
      <c r="L89"/>
      <c r="M89"/>
      <c r="N89"/>
      <c r="O89"/>
      <c r="P89"/>
      <c r="Q89"/>
      <c r="R89"/>
      <c r="S89"/>
      <c r="T89"/>
      <c r="U89"/>
      <c r="V89"/>
      <c r="W89"/>
    </row>
    <row r="90" spans="2:23" s="62" customFormat="1" ht="12.75" customHeight="1">
      <c r="B90" s="525">
        <f>B89*'household+building'!G24</f>
        <v>0</v>
      </c>
      <c r="C90" s="62" t="s">
        <v>147</v>
      </c>
      <c r="D90"/>
      <c r="E90"/>
      <c r="F90"/>
      <c r="G90"/>
      <c r="H90"/>
      <c r="I90"/>
      <c r="J90"/>
      <c r="K90"/>
      <c r="L90"/>
      <c r="M90"/>
      <c r="N90"/>
      <c r="O90"/>
      <c r="P90"/>
      <c r="Q90"/>
      <c r="R90"/>
      <c r="S90"/>
      <c r="T90"/>
      <c r="U90"/>
      <c r="V90"/>
      <c r="W90"/>
    </row>
    <row r="93" ht="11.25" customHeight="1"/>
  </sheetData>
  <sheetProtection selectLockedCells="1" selectUnlockedCells="1"/>
  <mergeCells count="15">
    <mergeCell ref="E17:F17"/>
    <mergeCell ref="E32:G32"/>
    <mergeCell ref="C33:D33"/>
    <mergeCell ref="B59:E59"/>
    <mergeCell ref="F59:G59"/>
    <mergeCell ref="B60:E60"/>
    <mergeCell ref="F60:G60"/>
    <mergeCell ref="B61:E61"/>
    <mergeCell ref="F61:G61"/>
    <mergeCell ref="B62:E62"/>
    <mergeCell ref="F62:G62"/>
    <mergeCell ref="B63:E63"/>
    <mergeCell ref="F63:G63"/>
    <mergeCell ref="B64:E64"/>
    <mergeCell ref="F64:G64"/>
  </mergeCells>
  <conditionalFormatting sqref="B60:E64 M5:P12">
    <cfRule type="expression" priority="1" dxfId="1" stopIfTrue="1">
      <formula>A4="x"</formula>
    </cfRule>
  </conditionalFormatting>
  <conditionalFormatting sqref="F60:G64">
    <cfRule type="expression" priority="2" dxfId="2" stopIfTrue="1">
      <formula>$R60="x"</formula>
    </cfRule>
  </conditionalFormatting>
  <conditionalFormatting sqref="AB35:AB54 H34:H53">
    <cfRule type="expression" priority="3" dxfId="1" stopIfTrue="1">
      <formula>$AA33="x"</formula>
    </cfRule>
  </conditionalFormatting>
  <conditionalFormatting sqref="H60:H64">
    <cfRule type="cellIs" priority="4" dxfId="3" operator="equal" stopIfTrue="1">
      <formula>"x"</formula>
    </cfRule>
  </conditionalFormatting>
  <printOptions/>
  <pageMargins left="0.7875" right="0.7875" top="0.9840277777777777" bottom="0.9840277777777777" header="0.5118055555555555" footer="0.5118055555555555"/>
  <pageSetup horizontalDpi="300" verticalDpi="300" orientation="portrait" paperSize="9"/>
  <legacyDrawing r:id="rId2"/>
</worksheet>
</file>

<file path=xl/worksheets/sheet13.xml><?xml version="1.0" encoding="utf-8"?>
<worksheet xmlns="http://schemas.openxmlformats.org/spreadsheetml/2006/main" xmlns:r="http://schemas.openxmlformats.org/officeDocument/2006/relationships">
  <sheetPr>
    <tabColor indexed="13"/>
  </sheetPr>
  <dimension ref="A1:IV100"/>
  <sheetViews>
    <sheetView workbookViewId="0" topLeftCell="A1">
      <selection activeCell="B101" sqref="B101"/>
    </sheetView>
  </sheetViews>
  <sheetFormatPr defaultColWidth="9.140625" defaultRowHeight="12.75"/>
  <cols>
    <col min="1" max="1" width="21.140625" style="1078" customWidth="1"/>
    <col min="2" max="2" width="35.57421875" style="1078" customWidth="1"/>
    <col min="3" max="3" width="10.28125" style="1078" hidden="1" customWidth="1"/>
    <col min="4" max="4" width="23.57421875" style="1079" customWidth="1"/>
    <col min="5" max="5" width="11.421875" style="1080" customWidth="1"/>
    <col min="6" max="16384" width="11.421875" style="1078" customWidth="1"/>
  </cols>
  <sheetData>
    <row r="1" spans="1:256" ht="12.75">
      <c r="A1" s="1081" t="s">
        <v>633</v>
      </c>
      <c r="B1" s="1081"/>
      <c r="C1" s="1081"/>
      <c r="D1" s="1081"/>
      <c r="E1"/>
      <c r="F1" s="108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s="1083" t="s">
        <v>892</v>
      </c>
      <c r="B2" s="1083" t="s">
        <v>630</v>
      </c>
      <c r="C2" s="1083"/>
      <c r="D2" s="1084" t="s">
        <v>280</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hidden="1">
      <c r="A3" s="1085"/>
      <c r="B3" s="1085"/>
      <c r="C3" s="1085"/>
      <c r="D3" s="1086"/>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1087" t="s">
        <v>893</v>
      </c>
      <c r="B4" s="1087" t="s">
        <v>894</v>
      </c>
      <c r="C4" s="1087"/>
      <c r="D4" s="112">
        <v>1</v>
      </c>
      <c r="E4"/>
      <c r="F4" s="1088"/>
      <c r="G4" s="1088"/>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s="1087" t="s">
        <v>895</v>
      </c>
      <c r="B5" s="1087" t="s">
        <v>896</v>
      </c>
      <c r="C5" s="1087"/>
      <c r="D5" s="112">
        <v>1</v>
      </c>
      <c r="E5"/>
      <c r="F5" s="1088"/>
      <c r="G5" s="1088"/>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4.25">
      <c r="A6" s="1087" t="s">
        <v>897</v>
      </c>
      <c r="B6" s="1087" t="s">
        <v>898</v>
      </c>
      <c r="C6" s="1087"/>
      <c r="D6" s="112">
        <v>1</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hidden="1">
      <c r="A7" s="1087"/>
      <c r="B7" s="1087"/>
      <c r="C7" s="1087"/>
      <c r="D7" s="112"/>
      <c r="E7" s="1089"/>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hidden="1">
      <c r="A8" s="1087"/>
      <c r="B8" s="1087"/>
      <c r="C8" s="1087"/>
      <c r="D8" s="112"/>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hidden="1">
      <c r="A9" s="1087"/>
      <c r="B9" s="1087"/>
      <c r="C9" s="1087"/>
      <c r="D9" s="112"/>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hidden="1">
      <c r="A10" s="1087"/>
      <c r="B10" s="1087"/>
      <c r="C10" s="1087"/>
      <c r="D10" s="112"/>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hidden="1">
      <c r="A11" s="1087"/>
      <c r="B11" s="1087"/>
      <c r="C11" s="1087"/>
      <c r="D11" s="112"/>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hidden="1">
      <c r="A12" s="1085"/>
      <c r="B12" s="1085"/>
      <c r="C12" s="1085"/>
      <c r="D12" s="1086"/>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hidden="1">
      <c r="A13" s="1090"/>
      <c r="B13" s="1090"/>
      <c r="C13" s="1090"/>
      <c r="D13" s="1091"/>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hidden="1">
      <c r="A14" s="1090"/>
      <c r="B14" s="1090"/>
      <c r="C14" s="1090"/>
      <c r="D14" s="1091"/>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hidden="1">
      <c r="A15" s="1090"/>
      <c r="B15" s="1090"/>
      <c r="C15" s="1090"/>
      <c r="D15" s="1091"/>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hidden="1">
      <c r="A16" s="1090"/>
      <c r="B16" s="1090"/>
      <c r="C16" s="1090"/>
      <c r="D16" s="1091"/>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hidden="1">
      <c r="A17" s="1085"/>
      <c r="B17" s="1085"/>
      <c r="C17" s="1085"/>
      <c r="D17" s="1086"/>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hidden="1">
      <c r="A18" s="1090"/>
      <c r="B18" s="1090"/>
      <c r="C18" s="1090"/>
      <c r="D18" s="1091"/>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hidden="1">
      <c r="A19" s="1090"/>
      <c r="B19" s="1090"/>
      <c r="C19" s="1090"/>
      <c r="D19" s="1091"/>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hidden="1">
      <c r="A20" s="1090"/>
      <c r="B20" s="1090"/>
      <c r="C20" s="1090"/>
      <c r="D20" s="1091"/>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4.25" hidden="1">
      <c r="A21" s="1090"/>
      <c r="B21" s="1090"/>
      <c r="C21" s="1090"/>
      <c r="D21" s="109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4.25" hidden="1">
      <c r="A22" s="1090"/>
      <c r="B22" s="1090"/>
      <c r="C22" s="1090"/>
      <c r="D22" s="1091"/>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hidden="1">
      <c r="A23" s="1085"/>
      <c r="B23" s="1085"/>
      <c r="C23" s="1085"/>
      <c r="D23" s="1086"/>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4.25" hidden="1">
      <c r="A24" s="1090"/>
      <c r="B24" s="1090"/>
      <c r="C24" s="1090"/>
      <c r="D24" s="1091"/>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4.25" hidden="1">
      <c r="A25" s="1090"/>
      <c r="B25" s="1090"/>
      <c r="C25" s="1090"/>
      <c r="D25" s="1091"/>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hidden="1">
      <c r="A26" s="1090"/>
      <c r="B26" s="1090"/>
      <c r="C26" s="1090"/>
      <c r="D26" s="1091"/>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25" hidden="1">
      <c r="A27" s="1092"/>
      <c r="B27" s="1092"/>
      <c r="C27" s="1092"/>
      <c r="D27" s="1093"/>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4.25">
      <c r="A28" s="1081" t="s">
        <v>899</v>
      </c>
      <c r="B28" s="1081"/>
      <c r="C28" s="1081"/>
      <c r="D28" s="1081"/>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4.25">
      <c r="A29" s="1083" t="s">
        <v>892</v>
      </c>
      <c r="B29" s="1083" t="s">
        <v>630</v>
      </c>
      <c r="C29" s="1083"/>
      <c r="D29" s="1084" t="s">
        <v>280</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4.25">
      <c r="A30" s="1087" t="s">
        <v>893</v>
      </c>
      <c r="B30" s="1087" t="s">
        <v>900</v>
      </c>
      <c r="C30" s="1087"/>
      <c r="D30" s="112">
        <v>1</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hidden="1">
      <c r="A31" s="1090"/>
      <c r="B31" s="1090"/>
      <c r="C31" s="1090"/>
      <c r="D31" s="109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4.25" hidden="1">
      <c r="A32" s="1090"/>
      <c r="B32" s="1090"/>
      <c r="C32" s="1090"/>
      <c r="D32" s="1091"/>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hidden="1">
      <c r="A33" s="1090"/>
      <c r="B33" s="1090"/>
      <c r="C33" s="1090"/>
      <c r="D33" s="1091"/>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4.25" hidden="1">
      <c r="A34" s="1090"/>
      <c r="B34" s="1090"/>
      <c r="C34" s="1090"/>
      <c r="D34" s="1091"/>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4.25" hidden="1">
      <c r="A35" s="1090"/>
      <c r="B35" s="1090"/>
      <c r="C35" s="1090"/>
      <c r="D35" s="1091"/>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4.25" hidden="1">
      <c r="A36" s="1092"/>
      <c r="B36" s="1092"/>
      <c r="C36" s="1092"/>
      <c r="D36" s="1093"/>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hidden="1">
      <c r="A37" s="1094"/>
      <c r="B37" s="1094"/>
      <c r="C37" s="1094"/>
      <c r="D37" s="1094"/>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hidden="1">
      <c r="A38" s="1090"/>
      <c r="B38" s="1090"/>
      <c r="C38" s="1090"/>
      <c r="D38" s="1091"/>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hidden="1">
      <c r="A39" s="1092"/>
      <c r="B39" s="1092"/>
      <c r="C39" s="1092"/>
      <c r="D39" s="1093"/>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hidden="1">
      <c r="A40" s="1094"/>
      <c r="B40" s="1094"/>
      <c r="C40" s="1094"/>
      <c r="D40" s="1094"/>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hidden="1">
      <c r="A41" s="1090"/>
      <c r="B41" s="1090"/>
      <c r="C41" s="1090"/>
      <c r="D41" s="109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4.25" hidden="1">
      <c r="A42" s="1090"/>
      <c r="B42" s="1090"/>
      <c r="C42" s="1090"/>
      <c r="D42" s="1091"/>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hidden="1">
      <c r="A43" s="1092"/>
      <c r="B43" s="1092"/>
      <c r="C43" s="1092"/>
      <c r="D43" s="109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4.25">
      <c r="A44" s="1081" t="s">
        <v>901</v>
      </c>
      <c r="B44" s="1081"/>
      <c r="C44" s="1081"/>
      <c r="D44" s="1081"/>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 r="A45" s="1083" t="s">
        <v>892</v>
      </c>
      <c r="B45" s="1083" t="s">
        <v>630</v>
      </c>
      <c r="C45" s="1083"/>
      <c r="D45" s="1084" t="s">
        <v>280</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4.25" hidden="1">
      <c r="A46" s="1085"/>
      <c r="B46" s="1085"/>
      <c r="C46" s="1085"/>
      <c r="D46" s="108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4.25" hidden="1">
      <c r="A47" s="1090"/>
      <c r="B47" s="1090"/>
      <c r="C47" s="1090"/>
      <c r="D47" s="1091"/>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4.25" hidden="1">
      <c r="A48" s="1090"/>
      <c r="B48" s="1090"/>
      <c r="C48" s="1090"/>
      <c r="D48" s="1091"/>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4.25" hidden="1">
      <c r="A49" s="1090"/>
      <c r="B49" s="1090"/>
      <c r="C49" s="1090"/>
      <c r="D49" s="1095"/>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hidden="1">
      <c r="A50" s="1085"/>
      <c r="B50" s="1085" t="s">
        <v>902</v>
      </c>
      <c r="C50" s="1085"/>
      <c r="D50" s="1086"/>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4.25">
      <c r="A51" s="1087" t="s">
        <v>893</v>
      </c>
      <c r="B51" s="1087" t="s">
        <v>903</v>
      </c>
      <c r="C51" s="1087"/>
      <c r="D51" s="112">
        <v>1</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4.25" hidden="1">
      <c r="A52" s="1087"/>
      <c r="B52" s="1087"/>
      <c r="C52" s="1087"/>
      <c r="D52" s="11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4.25" hidden="1">
      <c r="A53" s="1087"/>
      <c r="B53" s="1087"/>
      <c r="C53" s="1087"/>
      <c r="D53" s="112"/>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4.25" hidden="1">
      <c r="A54" s="1096"/>
      <c r="B54" s="1096"/>
      <c r="C54" s="1087"/>
      <c r="D54" s="1097"/>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4.25" hidden="1">
      <c r="A55" s="1087"/>
      <c r="B55" s="1087" t="s">
        <v>636</v>
      </c>
      <c r="C55" s="1087"/>
      <c r="D55" s="1098"/>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4.25">
      <c r="A56" s="1087" t="s">
        <v>895</v>
      </c>
      <c r="B56" s="1087" t="s">
        <v>904</v>
      </c>
      <c r="C56" s="1087"/>
      <c r="D56" s="112">
        <v>1</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c r="A57" s="1087" t="s">
        <v>897</v>
      </c>
      <c r="B57" s="1087" t="s">
        <v>905</v>
      </c>
      <c r="C57" s="1087"/>
      <c r="D57" s="112">
        <v>1</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4.25" hidden="1">
      <c r="A58" s="1090"/>
      <c r="B58" s="1090"/>
      <c r="C58" s="1090"/>
      <c r="D58" s="1091"/>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4.25" hidden="1">
      <c r="A59" s="1090"/>
      <c r="B59" s="1090"/>
      <c r="C59" s="1090"/>
      <c r="D59" s="1091"/>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4.25">
      <c r="A60" s="1081" t="s">
        <v>906</v>
      </c>
      <c r="B60" s="1081"/>
      <c r="C60" s="1081"/>
      <c r="D60" s="1081"/>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4.25">
      <c r="A61" s="1083" t="s">
        <v>892</v>
      </c>
      <c r="B61" s="1083" t="s">
        <v>630</v>
      </c>
      <c r="C61" s="1083"/>
      <c r="D61" s="1084" t="s">
        <v>280</v>
      </c>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4.25">
      <c r="A62" s="1099"/>
      <c r="B62" s="1099"/>
      <c r="C62" s="1099"/>
      <c r="D62" s="1100" t="s">
        <v>907</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4.25">
      <c r="A63" s="1087" t="s">
        <v>893</v>
      </c>
      <c r="B63" s="1101" t="s">
        <v>908</v>
      </c>
      <c r="C63" s="1087"/>
      <c r="D63" s="112">
        <v>1</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4.25" hidden="1">
      <c r="A64" s="1090"/>
      <c r="B64" s="1102"/>
      <c r="C64" s="1090"/>
      <c r="D64" s="1091"/>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4.25" hidden="1">
      <c r="A65" s="1085"/>
      <c r="B65" s="1085"/>
      <c r="C65" s="1085"/>
      <c r="D65" s="1086" t="s">
        <v>909</v>
      </c>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4.25" hidden="1">
      <c r="A66" s="1090"/>
      <c r="B66" s="1090"/>
      <c r="C66" s="1090"/>
      <c r="D66" s="1091"/>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4.25">
      <c r="A67" s="1099"/>
      <c r="B67" s="1099"/>
      <c r="C67" s="1099"/>
      <c r="D67" s="1100" t="s">
        <v>910</v>
      </c>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4.25">
      <c r="A68" s="1087" t="s">
        <v>893</v>
      </c>
      <c r="B68" s="1101" t="s">
        <v>908</v>
      </c>
      <c r="C68" s="1087"/>
      <c r="D68" s="112">
        <v>1</v>
      </c>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s="373" customFormat="1" ht="12.75">
      <c r="A69" s="1087" t="s">
        <v>895</v>
      </c>
      <c r="B69" s="1087" t="s">
        <v>911</v>
      </c>
      <c r="C69" s="1087"/>
      <c r="D69" s="112">
        <v>1</v>
      </c>
      <c r="F69" s="1103"/>
      <c r="H69" s="1103"/>
      <c r="J69" s="1103"/>
      <c r="L69" s="1103"/>
      <c r="N69" s="1103"/>
      <c r="P69" s="1103"/>
      <c r="R69" s="1103"/>
      <c r="T69" s="1103"/>
      <c r="V69" s="1103"/>
      <c r="X69" s="1103"/>
      <c r="Z69" s="1103"/>
      <c r="AB69" s="1103"/>
      <c r="AD69" s="1103"/>
      <c r="AF69" s="1103"/>
      <c r="AH69" s="1103"/>
      <c r="AJ69" s="1103"/>
      <c r="AL69" s="1103"/>
      <c r="AN69" s="1103"/>
      <c r="AP69" s="1103"/>
      <c r="AR69" s="1103"/>
      <c r="AT69" s="1103"/>
      <c r="AV69" s="1103"/>
      <c r="AX69" s="1103"/>
      <c r="AZ69" s="1103"/>
      <c r="BB69" s="1103"/>
      <c r="BD69" s="1103"/>
      <c r="BF69" s="1103"/>
      <c r="BH69" s="1103"/>
      <c r="BJ69" s="1103"/>
      <c r="BL69" s="1103"/>
      <c r="BN69" s="1103"/>
      <c r="BP69" s="1103"/>
      <c r="BR69" s="1103"/>
      <c r="BT69" s="1103"/>
      <c r="BV69" s="1103"/>
      <c r="BX69" s="1103"/>
      <c r="BZ69" s="1103"/>
      <c r="CB69" s="1103"/>
      <c r="CD69" s="1103"/>
      <c r="CF69" s="1103"/>
      <c r="CH69" s="1103"/>
      <c r="CJ69" s="1103"/>
      <c r="CL69" s="1103"/>
      <c r="CN69" s="1103"/>
      <c r="CP69" s="1103"/>
      <c r="CR69" s="1103"/>
      <c r="CT69" s="1103"/>
      <c r="CV69" s="1103"/>
      <c r="CX69" s="1103"/>
      <c r="CZ69" s="1103"/>
      <c r="DB69" s="1103"/>
      <c r="DD69" s="1103"/>
      <c r="DF69" s="1103"/>
      <c r="DH69" s="1103"/>
      <c r="DJ69" s="1103"/>
      <c r="DL69" s="1103"/>
      <c r="DN69" s="1103"/>
      <c r="DP69" s="1103"/>
      <c r="DR69" s="1103"/>
      <c r="DT69" s="1103"/>
      <c r="DV69" s="1103"/>
      <c r="DX69" s="1103"/>
      <c r="DZ69" s="1103"/>
      <c r="EB69" s="1103"/>
      <c r="ED69" s="1103"/>
      <c r="EF69" s="1103"/>
      <c r="EH69" s="1103"/>
      <c r="EJ69" s="1103"/>
      <c r="EL69" s="1103"/>
      <c r="EN69" s="1103"/>
      <c r="EP69" s="1103"/>
      <c r="ER69" s="1103"/>
      <c r="ET69" s="1103"/>
      <c r="EV69" s="1103"/>
      <c r="EX69" s="1103"/>
      <c r="EZ69" s="1103"/>
      <c r="FB69" s="1103"/>
      <c r="FD69" s="1103"/>
      <c r="FF69" s="1103"/>
      <c r="FH69" s="1103"/>
      <c r="FJ69" s="1103"/>
      <c r="FL69" s="1103"/>
      <c r="FN69" s="1103"/>
      <c r="FP69" s="1103"/>
      <c r="FR69" s="1103"/>
      <c r="FT69" s="1103"/>
      <c r="FV69" s="1103"/>
      <c r="FX69" s="1103"/>
      <c r="FZ69" s="1103"/>
      <c r="GB69" s="1103"/>
      <c r="GD69" s="1103"/>
      <c r="GF69" s="1103"/>
      <c r="GH69" s="1103"/>
      <c r="GJ69" s="1103"/>
      <c r="GL69" s="1103"/>
      <c r="GN69" s="1103"/>
      <c r="GP69" s="1103"/>
      <c r="GR69" s="1103"/>
      <c r="GT69" s="1103"/>
      <c r="GV69" s="1103"/>
      <c r="GX69" s="1103"/>
      <c r="GZ69" s="1103"/>
      <c r="HB69" s="1103"/>
      <c r="HD69" s="1103"/>
      <c r="HF69" s="1103"/>
      <c r="HH69" s="1103"/>
      <c r="HJ69" s="1103"/>
      <c r="HL69" s="1103"/>
      <c r="HN69" s="1103"/>
      <c r="HP69" s="1103"/>
      <c r="HR69" s="1103"/>
      <c r="HT69" s="1103"/>
      <c r="HV69" s="1103"/>
      <c r="HX69" s="1103"/>
      <c r="HZ69" s="1103"/>
      <c r="IB69" s="1103"/>
      <c r="ID69" s="1103"/>
      <c r="IF69" s="1103"/>
      <c r="IH69" s="1103"/>
      <c r="IJ69" s="1103"/>
      <c r="IL69" s="1103"/>
      <c r="IN69" s="1103"/>
      <c r="IP69" s="1103"/>
      <c r="IR69" s="1103"/>
      <c r="IT69" s="1103"/>
      <c r="IV69" s="1103"/>
    </row>
    <row r="70" spans="1:7" ht="14.25" hidden="1">
      <c r="A70" s="1090"/>
      <c r="B70" s="1090"/>
      <c r="C70" s="1090"/>
      <c r="D70" s="1091"/>
      <c r="F70"/>
      <c r="G70"/>
    </row>
    <row r="71" spans="1:7" ht="14.25" hidden="1">
      <c r="A71" s="1090"/>
      <c r="B71" s="1090"/>
      <c r="C71" s="1090"/>
      <c r="D71" s="1091"/>
      <c r="F71"/>
      <c r="G71"/>
    </row>
    <row r="72" spans="1:7" ht="14.25">
      <c r="A72" s="1099"/>
      <c r="B72" s="1099"/>
      <c r="C72" s="1099"/>
      <c r="D72" s="1100" t="s">
        <v>909</v>
      </c>
      <c r="F72"/>
      <c r="G72"/>
    </row>
    <row r="73" spans="1:7" ht="14.25">
      <c r="A73" s="1087" t="s">
        <v>893</v>
      </c>
      <c r="B73" s="1087" t="s">
        <v>912</v>
      </c>
      <c r="C73" s="1087"/>
      <c r="D73" s="112">
        <v>1</v>
      </c>
      <c r="F73"/>
      <c r="G73"/>
    </row>
    <row r="74" spans="1:7" ht="14.25" hidden="1">
      <c r="A74" s="1090"/>
      <c r="B74" s="1090"/>
      <c r="C74" s="1090"/>
      <c r="D74" s="1091"/>
      <c r="F74"/>
      <c r="G74"/>
    </row>
    <row r="75" spans="1:7" ht="14.25" hidden="1">
      <c r="A75" s="1085"/>
      <c r="B75" s="1085"/>
      <c r="C75" s="1085"/>
      <c r="D75" s="1086"/>
      <c r="F75"/>
      <c r="G75"/>
    </row>
    <row r="76" spans="1:7" ht="14.25" hidden="1">
      <c r="A76" s="1090"/>
      <c r="B76" s="1090"/>
      <c r="C76" s="1090"/>
      <c r="D76" s="1091"/>
      <c r="F76"/>
      <c r="G76"/>
    </row>
    <row r="77" spans="1:7" ht="14.25" hidden="1">
      <c r="A77" s="1085"/>
      <c r="B77" s="1085"/>
      <c r="C77" s="1085"/>
      <c r="D77" s="1086"/>
      <c r="F77"/>
      <c r="G77"/>
    </row>
    <row r="78" spans="1:7" ht="14.25" hidden="1">
      <c r="A78" s="1090"/>
      <c r="B78" s="1090"/>
      <c r="C78" s="1090"/>
      <c r="D78" s="1091"/>
      <c r="F78"/>
      <c r="G78"/>
    </row>
    <row r="79" spans="1:7" ht="14.25" hidden="1">
      <c r="A79" s="1090"/>
      <c r="B79" s="1090"/>
      <c r="C79" s="1090"/>
      <c r="D79" s="1091"/>
      <c r="F79"/>
      <c r="G79"/>
    </row>
    <row r="80" spans="1:7" ht="14.25" hidden="1">
      <c r="A80" s="1090"/>
      <c r="B80" s="1090"/>
      <c r="C80" s="1090"/>
      <c r="D80" s="1091"/>
      <c r="F80"/>
      <c r="G80"/>
    </row>
    <row r="81" spans="1:7" ht="14.25" hidden="1">
      <c r="A81" s="1094"/>
      <c r="B81" s="1094"/>
      <c r="C81" s="1094"/>
      <c r="D81" s="1094"/>
      <c r="F81"/>
      <c r="G81"/>
    </row>
    <row r="82" spans="1:7" ht="14.25" hidden="1">
      <c r="A82" s="1104"/>
      <c r="B82" s="1104"/>
      <c r="C82" s="1104"/>
      <c r="D82" s="1105"/>
      <c r="F82"/>
      <c r="G82"/>
    </row>
    <row r="83" spans="1:7" ht="14.25" hidden="1">
      <c r="A83" s="1106"/>
      <c r="B83" s="1107"/>
      <c r="C83" s="1108"/>
      <c r="D83" s="1091"/>
      <c r="F83"/>
      <c r="G83" s="1109"/>
    </row>
    <row r="84" spans="1:6" ht="14.25" hidden="1">
      <c r="A84" s="1106"/>
      <c r="B84" s="1107"/>
      <c r="C84" s="1108"/>
      <c r="D84" s="1091"/>
      <c r="F84"/>
    </row>
    <row r="85" spans="1:6" ht="14.25" hidden="1">
      <c r="A85" s="1106"/>
      <c r="B85" s="1107"/>
      <c r="C85" s="1108"/>
      <c r="D85" s="1091"/>
      <c r="F85"/>
    </row>
    <row r="86" spans="1:6" ht="14.25" hidden="1">
      <c r="A86" s="1106"/>
      <c r="B86" s="1107"/>
      <c r="C86" s="1108"/>
      <c r="D86" s="1091"/>
      <c r="F86"/>
    </row>
    <row r="87" spans="1:6" ht="14.25" hidden="1">
      <c r="A87" s="1106"/>
      <c r="B87" s="1107"/>
      <c r="C87" s="1108"/>
      <c r="D87" s="1091"/>
      <c r="F87"/>
    </row>
    <row r="88" spans="1:6" ht="14.25" hidden="1">
      <c r="A88" s="1106"/>
      <c r="B88" s="1107"/>
      <c r="C88" s="1107"/>
      <c r="D88" s="1091"/>
      <c r="F88"/>
    </row>
    <row r="89" spans="1:6" ht="14.25" hidden="1">
      <c r="A89" s="1106"/>
      <c r="B89" s="1107"/>
      <c r="C89" s="1107"/>
      <c r="D89" s="1091"/>
      <c r="F89"/>
    </row>
    <row r="90" spans="1:6" ht="24" customHeight="1" hidden="1">
      <c r="A90" s="1104"/>
      <c r="B90" s="1104"/>
      <c r="C90" s="1110"/>
      <c r="D90" s="1105"/>
      <c r="F90"/>
    </row>
    <row r="91" spans="1:6" ht="14.25" hidden="1">
      <c r="A91" s="1106"/>
      <c r="B91" s="1107"/>
      <c r="C91" s="1107"/>
      <c r="D91" s="1091"/>
      <c r="F91"/>
    </row>
    <row r="92" spans="1:6" ht="14.25" hidden="1">
      <c r="A92" s="1106"/>
      <c r="B92" s="1107"/>
      <c r="C92" s="1107"/>
      <c r="D92" s="1091"/>
      <c r="F92"/>
    </row>
    <row r="93" spans="1:6" ht="14.25" hidden="1">
      <c r="A93" s="1106"/>
      <c r="B93" s="1107"/>
      <c r="C93" s="1107"/>
      <c r="D93" s="1091"/>
      <c r="F93"/>
    </row>
    <row r="94" spans="1:6" ht="14.25" hidden="1">
      <c r="A94" s="1104"/>
      <c r="B94" s="1104"/>
      <c r="C94" s="1111"/>
      <c r="D94" s="1105"/>
      <c r="F94" s="1080"/>
    </row>
    <row r="95" spans="1:4" ht="14.25" hidden="1">
      <c r="A95" s="1106"/>
      <c r="B95" s="1107"/>
      <c r="C95" s="1107"/>
      <c r="D95" s="1091"/>
    </row>
    <row r="96" spans="1:4" ht="14.25" hidden="1">
      <c r="A96" s="1106"/>
      <c r="B96" s="1107"/>
      <c r="C96" s="1107"/>
      <c r="D96" s="1091"/>
    </row>
    <row r="97" spans="1:4" ht="14.25" hidden="1">
      <c r="A97" s="1106"/>
      <c r="B97" s="1107"/>
      <c r="C97" s="1107"/>
      <c r="D97" s="1091"/>
    </row>
    <row r="98" spans="1:4" ht="22.5" customHeight="1" hidden="1">
      <c r="A98" s="1104"/>
      <c r="B98" s="1104"/>
      <c r="C98" s="1110"/>
      <c r="D98" s="1105"/>
    </row>
    <row r="99" spans="1:4" ht="14.25" hidden="1">
      <c r="A99" s="1106"/>
      <c r="B99" s="1107"/>
      <c r="C99" s="1107"/>
      <c r="D99" s="1091"/>
    </row>
    <row r="100" spans="1:4" ht="14.25" hidden="1">
      <c r="A100" s="1106"/>
      <c r="B100" s="1107"/>
      <c r="C100" s="1107"/>
      <c r="D100" s="1091"/>
    </row>
  </sheetData>
  <sheetProtection selectLockedCells="1" selectUnlockedCells="1"/>
  <mergeCells count="7">
    <mergeCell ref="A1:D1"/>
    <mergeCell ref="A28:D28"/>
    <mergeCell ref="A37:D37"/>
    <mergeCell ref="A40:D40"/>
    <mergeCell ref="A44:D44"/>
    <mergeCell ref="A60:D60"/>
    <mergeCell ref="A81:D81"/>
  </mergeCells>
  <printOptions/>
  <pageMargins left="0.7875" right="0.7875" top="0.9840277777777777" bottom="0.9840277777777777" header="0.5118055555555555" footer="0.5118055555555555"/>
  <pageSetup horizontalDpi="300" verticalDpi="300" orientation="portrait" paperSize="9"/>
  <colBreaks count="1" manualBreakCount="1">
    <brk id="4" max="65535" man="1"/>
  </colBreaks>
</worksheet>
</file>

<file path=xl/worksheets/sheet14.xml><?xml version="1.0" encoding="utf-8"?>
<worksheet xmlns="http://schemas.openxmlformats.org/spreadsheetml/2006/main" xmlns:r="http://schemas.openxmlformats.org/officeDocument/2006/relationships">
  <sheetPr>
    <tabColor indexed="13"/>
  </sheetPr>
  <dimension ref="B3:L53"/>
  <sheetViews>
    <sheetView workbookViewId="0" topLeftCell="A1">
      <selection activeCell="C33" sqref="C33"/>
    </sheetView>
  </sheetViews>
  <sheetFormatPr defaultColWidth="9.140625" defaultRowHeight="12.75"/>
  <cols>
    <col min="1" max="1" width="1.57421875" style="0" customWidth="1"/>
    <col min="2" max="10" width="10.7109375" style="0" customWidth="1"/>
    <col min="11" max="11" width="15.28125" style="0" customWidth="1"/>
    <col min="12" max="16384" width="10.7109375" style="0" customWidth="1"/>
  </cols>
  <sheetData>
    <row r="3" ht="23.25">
      <c r="D3" s="3" t="s">
        <v>0</v>
      </c>
    </row>
    <row r="5" ht="14.25">
      <c r="B5" s="935" t="s">
        <v>913</v>
      </c>
    </row>
    <row r="6" ht="14.25"/>
    <row r="7" ht="14.25">
      <c r="B7" t="s">
        <v>914</v>
      </c>
    </row>
    <row r="8" spans="2:8" ht="14.25">
      <c r="B8" s="922" t="s">
        <v>915</v>
      </c>
      <c r="C8" s="922"/>
      <c r="D8" s="922"/>
      <c r="E8" s="922"/>
      <c r="F8" s="922"/>
      <c r="G8" s="922"/>
      <c r="H8" s="922"/>
    </row>
    <row r="9" ht="14.25">
      <c r="B9" s="935"/>
    </row>
    <row r="10" ht="14.25">
      <c r="B10" t="s">
        <v>916</v>
      </c>
    </row>
    <row r="11" ht="14.25">
      <c r="B11" t="s">
        <v>917</v>
      </c>
    </row>
    <row r="12" ht="14.25">
      <c r="B12" t="s">
        <v>918</v>
      </c>
    </row>
    <row r="13" ht="14.25">
      <c r="B13" t="s">
        <v>919</v>
      </c>
    </row>
    <row r="14" ht="14.25"/>
    <row r="15" ht="14.25">
      <c r="B15" t="s">
        <v>920</v>
      </c>
    </row>
    <row r="16" ht="14.25"/>
    <row r="17" spans="7:11" ht="14.25">
      <c r="G17" s="1112"/>
      <c r="H17" s="1112"/>
      <c r="I17" s="1112"/>
      <c r="J17" s="1112"/>
      <c r="K17" s="1112"/>
    </row>
    <row r="18" spans="3:12" ht="14.25">
      <c r="C18" s="1113" t="s">
        <v>921</v>
      </c>
      <c r="G18" s="600"/>
      <c r="H18" s="600"/>
      <c r="I18" s="600"/>
      <c r="J18" s="600"/>
      <c r="K18" s="600"/>
      <c r="L18" s="2"/>
    </row>
    <row r="19" ht="14.25">
      <c r="C19" t="s">
        <v>922</v>
      </c>
    </row>
    <row r="20" ht="14.25"/>
    <row r="21" ht="3" customHeight="1"/>
    <row r="22" spans="4:11" ht="48.75" customHeight="1">
      <c r="D22" s="1114" t="s">
        <v>923</v>
      </c>
      <c r="E22" s="1114"/>
      <c r="F22" s="1114"/>
      <c r="G22" s="1114"/>
      <c r="H22" s="1114"/>
      <c r="I22" s="1114"/>
      <c r="J22" s="1114"/>
      <c r="K22" s="1114"/>
    </row>
    <row r="23" ht="30.75" customHeight="1"/>
    <row r="24" ht="15.75">
      <c r="B24" s="626" t="s">
        <v>924</v>
      </c>
    </row>
    <row r="25" ht="15.75" customHeight="1"/>
    <row r="26" spans="2:11" ht="15.75" customHeight="1">
      <c r="B26" s="1115" t="s">
        <v>925</v>
      </c>
      <c r="C26" s="1115"/>
      <c r="D26" s="1115"/>
      <c r="E26" s="1115"/>
      <c r="F26" s="1115"/>
      <c r="G26" s="1115"/>
      <c r="H26" s="1115"/>
      <c r="I26" s="1115"/>
      <c r="J26" s="1115"/>
      <c r="K26" s="1115"/>
    </row>
    <row r="27" spans="2:11" ht="14.25" customHeight="1">
      <c r="B27" s="1116" t="s">
        <v>926</v>
      </c>
      <c r="C27" s="1116"/>
      <c r="D27" s="1116"/>
      <c r="E27" s="1116"/>
      <c r="F27" s="1116"/>
      <c r="G27" s="1116"/>
      <c r="H27" s="1116"/>
      <c r="I27" s="1116"/>
      <c r="J27" s="1116"/>
      <c r="K27" s="1116"/>
    </row>
    <row r="28" spans="2:11" ht="36.75" customHeight="1">
      <c r="B28" s="1117" t="s">
        <v>927</v>
      </c>
      <c r="C28" s="1117"/>
      <c r="D28" s="1117"/>
      <c r="E28" s="1117"/>
      <c r="F28" s="1117"/>
      <c r="G28" s="1117"/>
      <c r="H28" s="1117"/>
      <c r="I28" s="1117"/>
      <c r="J28" s="1117"/>
      <c r="K28" s="1117"/>
    </row>
    <row r="29" spans="2:11" ht="20.25" customHeight="1">
      <c r="B29" s="1118"/>
      <c r="C29" s="933"/>
      <c r="D29" s="933"/>
      <c r="E29" s="933"/>
      <c r="F29" s="933"/>
      <c r="G29" s="933"/>
      <c r="H29" s="933"/>
      <c r="I29" s="933"/>
      <c r="J29" s="933"/>
      <c r="K29" s="933"/>
    </row>
    <row r="30" spans="2:11" ht="14.25" customHeight="1">
      <c r="B30" s="1119"/>
      <c r="C30" s="56" t="s">
        <v>928</v>
      </c>
      <c r="D30" s="933"/>
      <c r="E30" s="933"/>
      <c r="F30" s="933"/>
      <c r="G30" s="933"/>
      <c r="H30" s="933"/>
      <c r="I30" s="933"/>
      <c r="J30" s="933"/>
      <c r="K30" s="933"/>
    </row>
    <row r="31" spans="2:11" ht="15" customHeight="1">
      <c r="B31" s="1120"/>
      <c r="C31" s="56" t="s">
        <v>929</v>
      </c>
      <c r="D31" s="933"/>
      <c r="E31" s="933"/>
      <c r="F31" s="933"/>
      <c r="G31" s="933"/>
      <c r="H31" s="933"/>
      <c r="I31" s="933"/>
      <c r="J31" s="933"/>
      <c r="K31" s="933"/>
    </row>
    <row r="32" spans="2:11" ht="16.5" customHeight="1" hidden="1">
      <c r="B32" s="1121"/>
      <c r="C32" s="56"/>
      <c r="D32" s="933"/>
      <c r="E32" s="933"/>
      <c r="F32" s="933"/>
      <c r="G32" s="933"/>
      <c r="H32" s="933"/>
      <c r="I32" s="933"/>
      <c r="J32" s="933"/>
      <c r="K32" s="933"/>
    </row>
    <row r="33" spans="2:11" ht="12.75">
      <c r="B33" s="1122"/>
      <c r="C33" s="56" t="s">
        <v>930</v>
      </c>
      <c r="D33" s="933"/>
      <c r="E33" s="933"/>
      <c r="F33" s="933"/>
      <c r="G33" s="933"/>
      <c r="H33" s="933"/>
      <c r="I33" s="933"/>
      <c r="J33" s="933"/>
      <c r="K33" s="933"/>
    </row>
    <row r="34" spans="2:11" ht="17.25" customHeight="1">
      <c r="B34" s="1118"/>
      <c r="C34" s="933"/>
      <c r="D34" s="933"/>
      <c r="E34" s="933"/>
      <c r="F34" s="933"/>
      <c r="G34" s="933"/>
      <c r="H34" s="933"/>
      <c r="I34" s="933"/>
      <c r="J34" s="933"/>
      <c r="K34" s="933"/>
    </row>
    <row r="35" spans="2:11" ht="38.25" customHeight="1">
      <c r="B35" s="1123" t="s">
        <v>931</v>
      </c>
      <c r="C35" s="1123"/>
      <c r="D35" s="1123"/>
      <c r="E35" s="1123"/>
      <c r="F35" s="1123"/>
      <c r="G35" s="1123"/>
      <c r="H35" s="1123"/>
      <c r="I35" s="1123"/>
      <c r="J35" s="1123"/>
      <c r="K35" s="1123"/>
    </row>
    <row r="36" spans="2:11" ht="7.5" customHeight="1">
      <c r="B36" s="933"/>
      <c r="C36" s="933"/>
      <c r="D36" s="933"/>
      <c r="E36" s="933"/>
      <c r="F36" s="933"/>
      <c r="G36" s="933"/>
      <c r="H36" s="933"/>
      <c r="I36" s="933"/>
      <c r="J36" s="933"/>
      <c r="K36" s="933"/>
    </row>
    <row r="37" spans="2:11" ht="48" customHeight="1">
      <c r="B37" s="1123" t="s">
        <v>932</v>
      </c>
      <c r="C37" s="1123"/>
      <c r="D37" s="1123"/>
      <c r="E37" s="1123"/>
      <c r="F37" s="1123"/>
      <c r="G37" s="1123"/>
      <c r="H37" s="1123"/>
      <c r="I37" s="1123"/>
      <c r="J37" s="1123"/>
      <c r="K37" s="1123"/>
    </row>
    <row r="38" spans="2:11" ht="7.5" customHeight="1">
      <c r="B38" s="933"/>
      <c r="C38" s="933"/>
      <c r="D38" s="933"/>
      <c r="E38" s="933"/>
      <c r="F38" s="933"/>
      <c r="G38" s="933"/>
      <c r="H38" s="933"/>
      <c r="I38" s="933"/>
      <c r="J38" s="933"/>
      <c r="K38" s="933"/>
    </row>
    <row r="39" spans="2:11" ht="12.75" customHeight="1">
      <c r="B39" s="1123" t="s">
        <v>933</v>
      </c>
      <c r="C39" s="1123"/>
      <c r="D39" s="1123"/>
      <c r="E39" s="1123"/>
      <c r="F39" s="1123"/>
      <c r="G39" s="1123"/>
      <c r="H39" s="1123"/>
      <c r="I39" s="1123"/>
      <c r="J39" s="1123"/>
      <c r="K39" s="1123"/>
    </row>
    <row r="40" spans="2:11" ht="8.25" customHeight="1">
      <c r="B40" s="933"/>
      <c r="C40" s="933"/>
      <c r="D40" s="933"/>
      <c r="E40" s="933"/>
      <c r="F40" s="933"/>
      <c r="G40" s="933"/>
      <c r="H40" s="933"/>
      <c r="I40" s="933"/>
      <c r="J40" s="933"/>
      <c r="K40" s="933"/>
    </row>
    <row r="41" spans="2:11" ht="12.75" customHeight="1">
      <c r="B41" s="1123" t="s">
        <v>934</v>
      </c>
      <c r="C41" s="1123"/>
      <c r="D41" s="1123"/>
      <c r="E41" s="1123"/>
      <c r="F41" s="1123"/>
      <c r="G41" s="1123"/>
      <c r="H41" s="1123"/>
      <c r="I41" s="1123"/>
      <c r="J41" s="1123"/>
      <c r="K41" s="1123"/>
    </row>
    <row r="42" spans="2:11" ht="7.5" customHeight="1">
      <c r="B42" s="933"/>
      <c r="C42" s="933"/>
      <c r="D42" s="933"/>
      <c r="E42" s="933"/>
      <c r="F42" s="933"/>
      <c r="G42" s="933"/>
      <c r="H42" s="933"/>
      <c r="I42" s="933"/>
      <c r="J42" s="933"/>
      <c r="K42" s="933"/>
    </row>
    <row r="43" spans="2:11" ht="14.25" customHeight="1">
      <c r="B43" s="1123" t="s">
        <v>935</v>
      </c>
      <c r="C43" s="1123"/>
      <c r="D43" s="1123"/>
      <c r="E43" s="1123"/>
      <c r="F43" s="1123"/>
      <c r="G43" s="1123"/>
      <c r="H43" s="1123"/>
      <c r="I43" s="1123"/>
      <c r="J43" s="1123"/>
      <c r="K43" s="1123"/>
    </row>
    <row r="44" spans="2:11" ht="7.5" customHeight="1">
      <c r="B44" s="933"/>
      <c r="C44" s="933"/>
      <c r="D44" s="933"/>
      <c r="E44" s="933"/>
      <c r="F44" s="933"/>
      <c r="G44" s="933"/>
      <c r="H44" s="933"/>
      <c r="I44" s="933"/>
      <c r="J44" s="933"/>
      <c r="K44" s="933"/>
    </row>
    <row r="45" spans="2:11" ht="27.75" customHeight="1">
      <c r="B45" s="1123" t="s">
        <v>936</v>
      </c>
      <c r="C45" s="1123"/>
      <c r="D45" s="1123"/>
      <c r="E45" s="1123"/>
      <c r="F45" s="1123"/>
      <c r="G45" s="1123"/>
      <c r="H45" s="1123"/>
      <c r="I45" s="1123"/>
      <c r="J45" s="1123"/>
      <c r="K45" s="1123"/>
    </row>
    <row r="46" spans="2:11" ht="9" customHeight="1">
      <c r="B46" s="933"/>
      <c r="C46" s="933"/>
      <c r="D46" s="933"/>
      <c r="E46" s="933"/>
      <c r="F46" s="933"/>
      <c r="G46" s="933"/>
      <c r="H46" s="933"/>
      <c r="I46" s="933"/>
      <c r="J46" s="933"/>
      <c r="K46" s="933"/>
    </row>
    <row r="47" spans="2:11" ht="48" customHeight="1">
      <c r="B47" s="1123" t="s">
        <v>937</v>
      </c>
      <c r="C47" s="1123"/>
      <c r="D47" s="1123"/>
      <c r="E47" s="1123"/>
      <c r="F47" s="1123"/>
      <c r="G47" s="1123"/>
      <c r="H47" s="1123"/>
      <c r="I47" s="1123"/>
      <c r="J47" s="1123"/>
      <c r="K47" s="1123"/>
    </row>
    <row r="48" spans="2:11" ht="9" customHeight="1">
      <c r="B48" s="933"/>
      <c r="C48" s="933"/>
      <c r="D48" s="933"/>
      <c r="E48" s="933"/>
      <c r="F48" s="933"/>
      <c r="G48" s="933"/>
      <c r="H48" s="933"/>
      <c r="I48" s="933"/>
      <c r="J48" s="933"/>
      <c r="K48" s="933"/>
    </row>
    <row r="49" spans="2:11" ht="24" customHeight="1" hidden="1">
      <c r="B49" s="1123"/>
      <c r="C49" s="1123"/>
      <c r="D49" s="1123"/>
      <c r="E49" s="1123"/>
      <c r="F49" s="1123"/>
      <c r="G49" s="1123"/>
      <c r="H49" s="1123"/>
      <c r="I49" s="1123"/>
      <c r="J49" s="1123"/>
      <c r="K49" s="1123"/>
    </row>
    <row r="50" spans="2:11" ht="8.25" customHeight="1">
      <c r="B50" s="933"/>
      <c r="C50" s="933"/>
      <c r="D50" s="933"/>
      <c r="E50" s="933"/>
      <c r="F50" s="933"/>
      <c r="G50" s="933"/>
      <c r="H50" s="933"/>
      <c r="I50" s="933"/>
      <c r="J50" s="933"/>
      <c r="K50" s="933"/>
    </row>
    <row r="51" spans="2:11" ht="42" customHeight="1">
      <c r="B51" s="1123" t="s">
        <v>938</v>
      </c>
      <c r="C51" s="1123"/>
      <c r="D51" s="1123"/>
      <c r="E51" s="1123"/>
      <c r="F51" s="1123"/>
      <c r="G51" s="1123"/>
      <c r="H51" s="1123"/>
      <c r="I51" s="1123"/>
      <c r="J51" s="1123"/>
      <c r="K51" s="1123"/>
    </row>
    <row r="52" spans="2:11" ht="9.75" customHeight="1">
      <c r="B52" s="933"/>
      <c r="C52" s="933"/>
      <c r="D52" s="933"/>
      <c r="E52" s="933"/>
      <c r="F52" s="933"/>
      <c r="G52" s="933"/>
      <c r="H52" s="933"/>
      <c r="I52" s="933"/>
      <c r="J52" s="933"/>
      <c r="K52" s="933"/>
    </row>
    <row r="53" spans="2:11" ht="24.75" customHeight="1">
      <c r="B53" s="1123" t="s">
        <v>939</v>
      </c>
      <c r="C53" s="1123"/>
      <c r="D53" s="1123"/>
      <c r="E53" s="1123"/>
      <c r="F53" s="1123"/>
      <c r="G53" s="1123"/>
      <c r="H53" s="1123"/>
      <c r="I53" s="1123"/>
      <c r="J53" s="1123"/>
      <c r="K53" s="1123"/>
    </row>
    <row r="54" ht="9.75" customHeight="1"/>
    <row r="55" ht="14.25"/>
  </sheetData>
  <sheetProtection selectLockedCells="1" selectUnlockedCells="1"/>
  <mergeCells count="14">
    <mergeCell ref="D22:K22"/>
    <mergeCell ref="B26:K26"/>
    <mergeCell ref="B27:K27"/>
    <mergeCell ref="B28:K28"/>
    <mergeCell ref="B35:K35"/>
    <mergeCell ref="B37:K37"/>
    <mergeCell ref="B39:K39"/>
    <mergeCell ref="B41:K41"/>
    <mergeCell ref="B43:K43"/>
    <mergeCell ref="B45:K45"/>
    <mergeCell ref="B47:K47"/>
    <mergeCell ref="B49:K49"/>
    <mergeCell ref="B51:K51"/>
    <mergeCell ref="B53:K53"/>
  </mergeCells>
  <printOptions/>
  <pageMargins left="0.7875" right="0.7875"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IV118"/>
  <sheetViews>
    <sheetView tabSelected="1" workbookViewId="0" topLeftCell="A1">
      <selection activeCell="F22" sqref="F22"/>
    </sheetView>
  </sheetViews>
  <sheetFormatPr defaultColWidth="9.140625" defaultRowHeight="12.75"/>
  <cols>
    <col min="1" max="1" width="2.8515625" style="1" customWidth="1"/>
    <col min="2" max="7" width="4.7109375" style="1" customWidth="1"/>
    <col min="8" max="8" width="5.8515625" style="1" customWidth="1"/>
    <col min="9" max="9" width="5.421875" style="1" customWidth="1"/>
    <col min="10" max="10" width="5.140625" style="1" customWidth="1"/>
    <col min="11" max="12" width="4.7109375" style="1" customWidth="1"/>
    <col min="13" max="13" width="5.140625" style="1" customWidth="1"/>
    <col min="14" max="14" width="4.7109375" style="1" customWidth="1"/>
    <col min="15" max="15" width="5.7109375" style="1" customWidth="1"/>
    <col min="16" max="17" width="5.421875" style="1" customWidth="1"/>
    <col min="18" max="18" width="7.421875" style="1" customWidth="1"/>
    <col min="19" max="19" width="4.7109375" style="1" customWidth="1"/>
    <col min="20" max="20" width="4.28125" style="1" customWidth="1"/>
    <col min="21" max="21" width="13.57421875" style="1" customWidth="1"/>
    <col min="22" max="22" width="6.57421875" style="1" customWidth="1"/>
    <col min="23" max="23" width="15.57421875" style="1" customWidth="1"/>
    <col min="24" max="24" width="10.7109375" style="1" customWidth="1"/>
    <col min="25" max="25" width="17.28125" style="1" customWidth="1"/>
    <col min="26" max="26" width="10.7109375" style="1" customWidth="1"/>
    <col min="27" max="27" width="2.00390625" style="1" customWidth="1"/>
    <col min="28" max="42" width="11.421875" style="1" customWidth="1"/>
    <col min="43" max="46" width="4.7109375" style="1" customWidth="1"/>
    <col min="47" max="47" width="24.421875" style="1" customWidth="1"/>
    <col min="48" max="48" width="7.7109375" style="1" customWidth="1"/>
    <col min="49" max="49" width="23.7109375" style="1" customWidth="1"/>
    <col min="50" max="50" width="11.57421875" style="34" customWidth="1"/>
    <col min="51" max="51" width="11.421875" style="1" customWidth="1"/>
    <col min="52" max="60" width="4.7109375" style="1" customWidth="1"/>
    <col min="61" max="16384" width="11.421875" style="1" customWidth="1"/>
  </cols>
  <sheetData>
    <row r="1" spans="1:256" ht="45" customHeight="1">
      <c r="A1"/>
      <c r="B1"/>
      <c r="C1" s="35"/>
      <c r="D1" s="35"/>
      <c r="E1" s="35"/>
      <c r="F1" s="36" t="s">
        <v>30</v>
      </c>
      <c r="G1" s="35"/>
      <c r="H1" s="35"/>
      <c r="I1" s="35"/>
      <c r="J1" s="35"/>
      <c r="K1" s="35"/>
      <c r="L1" s="35"/>
      <c r="M1" s="35"/>
      <c r="N1" s="35"/>
      <c r="O1" s="35"/>
      <c r="P1" s="35"/>
      <c r="Q1" s="35"/>
      <c r="R1" s="35"/>
      <c r="S1" s="35"/>
      <c r="T1" s="35"/>
      <c r="U1" s="37"/>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s="38"/>
      <c r="BX1" s="39"/>
      <c r="BY1" s="40"/>
      <c r="BZ1"/>
      <c r="CA1" s="4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 customHeight="1">
      <c r="A2"/>
      <c r="B2"/>
      <c r="C2" s="35"/>
      <c r="D2" s="35"/>
      <c r="E2" s="35"/>
      <c r="F2" s="36"/>
      <c r="G2" s="35"/>
      <c r="H2" s="35"/>
      <c r="I2" s="35"/>
      <c r="J2" s="35"/>
      <c r="K2" s="35"/>
      <c r="L2" s="35"/>
      <c r="M2" s="35"/>
      <c r="N2" s="35"/>
      <c r="O2" s="35"/>
      <c r="P2" s="35"/>
      <c r="Q2" s="35"/>
      <c r="R2" s="35"/>
      <c r="S2" s="35"/>
      <c r="T2" s="35"/>
      <c r="U2" s="37"/>
      <c r="V2" s="42"/>
      <c r="W2" s="43"/>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s="38"/>
      <c r="BX2" s="39"/>
      <c r="BY2" s="40"/>
      <c r="BZ2"/>
      <c r="CA2" s="41"/>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c r="B3" s="44"/>
      <c r="C3" s="44"/>
      <c r="D3" s="44"/>
      <c r="E3" s="44"/>
      <c r="F3" s="44"/>
      <c r="G3" s="44"/>
      <c r="H3" s="44"/>
      <c r="I3" s="44"/>
      <c r="J3" s="44"/>
      <c r="K3" s="44"/>
      <c r="L3" s="45"/>
      <c r="M3"/>
      <c r="N3"/>
      <c r="O3"/>
      <c r="P3" s="46" t="s">
        <v>31</v>
      </c>
      <c r="Q3" s="47"/>
      <c r="R3" s="47"/>
      <c r="S3"/>
      <c r="T3"/>
      <c r="U3"/>
      <c r="V3"/>
      <c r="W3" s="48">
        <v>2020</v>
      </c>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s="49"/>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c r="B4"/>
      <c r="C4"/>
      <c r="D4"/>
      <c r="E4"/>
      <c r="F4"/>
      <c r="G4"/>
      <c r="H4" s="44"/>
      <c r="I4" s="44"/>
      <c r="J4" s="44"/>
      <c r="K4" s="44"/>
      <c r="L4" s="45"/>
      <c r="M4" s="50"/>
      <c r="N4"/>
      <c r="O4"/>
      <c r="P4" s="46" t="s">
        <v>32</v>
      </c>
      <c r="Q4" s="51"/>
      <c r="R4" s="51"/>
      <c r="S4"/>
      <c r="T4"/>
      <c r="U4"/>
      <c r="V4"/>
      <c r="W4" s="48">
        <v>2021</v>
      </c>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9.75" customHeight="1">
      <c r="A5"/>
      <c r="B5"/>
      <c r="C5"/>
      <c r="D5"/>
      <c r="E5"/>
      <c r="F5"/>
      <c r="G5"/>
      <c r="H5" s="44"/>
      <c r="I5" s="44"/>
      <c r="J5" s="44"/>
      <c r="K5" s="44"/>
      <c r="L5" s="45"/>
      <c r="M5" s="50"/>
      <c r="N5"/>
      <c r="O5"/>
      <c r="P5" s="46"/>
      <c r="Q5"/>
      <c r="R5"/>
      <c r="S5"/>
      <c r="T5"/>
      <c r="U5"/>
      <c r="V5"/>
      <c r="W5" s="52">
        <v>2022</v>
      </c>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c r="B6" s="53" t="s">
        <v>33</v>
      </c>
      <c r="C6" s="44"/>
      <c r="D6" s="44"/>
      <c r="E6" s="44"/>
      <c r="F6" s="44"/>
      <c r="G6" s="44"/>
      <c r="H6" s="44"/>
      <c r="I6" s="44"/>
      <c r="J6" s="44"/>
      <c r="K6" s="44"/>
      <c r="L6" s="45"/>
      <c r="M6" s="50"/>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c r="A7"/>
      <c r="B7" s="44"/>
      <c r="C7" s="44"/>
      <c r="D7" s="44"/>
      <c r="E7" s="44"/>
      <c r="F7" s="44"/>
      <c r="G7" s="44"/>
      <c r="H7" s="44"/>
      <c r="I7" s="44"/>
      <c r="J7" s="44"/>
      <c r="K7" s="44"/>
      <c r="L7" s="45"/>
      <c r="M7" s="50"/>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7.5" customHeight="1">
      <c r="A8"/>
      <c r="B8" s="44"/>
      <c r="C8" s="44"/>
      <c r="D8" s="44"/>
      <c r="E8" s="44"/>
      <c r="F8" s="44"/>
      <c r="G8" s="44"/>
      <c r="H8" s="44"/>
      <c r="I8" s="44"/>
      <c r="J8" s="44"/>
      <c r="K8" s="44"/>
      <c r="L8" s="45"/>
      <c r="M8" s="50"/>
      <c r="N8"/>
      <c r="O8"/>
      <c r="P8"/>
      <c r="Q8"/>
      <c r="R8"/>
      <c r="S8"/>
      <c r="T8"/>
      <c r="U8"/>
      <c r="V8"/>
      <c r="W8" s="54"/>
      <c r="X8"/>
      <c r="Y8" s="55"/>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7.5" customHeight="1">
      <c r="A9"/>
      <c r="B9" s="44"/>
      <c r="C9" s="44"/>
      <c r="D9" s="44"/>
      <c r="E9"/>
      <c r="F9"/>
      <c r="G9"/>
      <c r="H9"/>
      <c r="I9"/>
      <c r="J9"/>
      <c r="K9" s="44"/>
      <c r="L9" s="45"/>
      <c r="M9" s="50"/>
      <c r="N9"/>
      <c r="O9"/>
      <c r="P9"/>
      <c r="Q9"/>
      <c r="R9"/>
      <c r="S9"/>
      <c r="T9"/>
      <c r="U9"/>
      <c r="V9"/>
      <c r="W9"/>
      <c r="X9"/>
      <c r="Y9" s="56"/>
      <c r="Z9" s="5" t="s">
        <v>34</v>
      </c>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6:50" s="56" customFormat="1" ht="13.5" customHeight="1">
      <c r="F10" s="57" t="s">
        <v>35</v>
      </c>
      <c r="G10" s="58"/>
      <c r="H10" s="58"/>
      <c r="I10" s="58"/>
      <c r="J10" s="58"/>
      <c r="K10" s="59"/>
      <c r="L10" s="60"/>
      <c r="N10" s="61" t="s">
        <v>36</v>
      </c>
      <c r="O10" s="58"/>
      <c r="P10" s="58"/>
      <c r="Q10" s="58" t="s">
        <v>37</v>
      </c>
      <c r="R10" s="58"/>
      <c r="W10" s="62" t="s">
        <v>38</v>
      </c>
      <c r="X10" s="56" t="s">
        <v>39</v>
      </c>
      <c r="Y10" s="63" t="s">
        <v>40</v>
      </c>
      <c r="Z10" s="64">
        <f>COUNTA(G11)</f>
        <v>0</v>
      </c>
      <c r="AB10" s="62" t="s">
        <v>41</v>
      </c>
      <c r="AX10" s="65"/>
    </row>
    <row r="11" spans="1:256" ht="13.5" customHeight="1">
      <c r="A11" s="56"/>
      <c r="B11" s="56"/>
      <c r="C11" s="56"/>
      <c r="D11" s="56"/>
      <c r="E11" s="56"/>
      <c r="F11" s="61" t="s">
        <v>42</v>
      </c>
      <c r="G11" s="58"/>
      <c r="H11" s="58"/>
      <c r="I11" s="58"/>
      <c r="J11" s="58"/>
      <c r="K11" s="59"/>
      <c r="L11" s="66"/>
      <c r="M11" s="67"/>
      <c r="N11"/>
      <c r="O11"/>
      <c r="P11" s="68"/>
      <c r="Q11"/>
      <c r="R11"/>
      <c r="S11"/>
      <c r="T11"/>
      <c r="U11"/>
      <c r="V11"/>
      <c r="W11" s="56" t="s">
        <v>43</v>
      </c>
      <c r="X11" s="56" t="s">
        <v>44</v>
      </c>
      <c r="Y11" s="63" t="s">
        <v>45</v>
      </c>
      <c r="Z11"/>
      <c r="AA11"/>
      <c r="AB11" s="56" t="s">
        <v>46</v>
      </c>
      <c r="AC11"/>
      <c r="AD11"/>
      <c r="AE11"/>
      <c r="AF11"/>
      <c r="AG11"/>
      <c r="AH11"/>
      <c r="AI11"/>
      <c r="AJ11"/>
      <c r="AK11"/>
      <c r="AL11"/>
      <c r="AM11"/>
      <c r="AN11"/>
      <c r="AO11"/>
      <c r="AP11"/>
      <c r="AQ11"/>
      <c r="AR11"/>
      <c r="AS11"/>
      <c r="AT11"/>
      <c r="AU11"/>
      <c r="AV11"/>
      <c r="AW11"/>
      <c r="AX11" s="65"/>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56"/>
      <c r="B12" s="56"/>
      <c r="C12" s="56"/>
      <c r="D12" s="56"/>
      <c r="E12" s="56"/>
      <c r="F12" s="61" t="s">
        <v>47</v>
      </c>
      <c r="G12" s="58"/>
      <c r="H12" s="58"/>
      <c r="I12" s="58"/>
      <c r="J12" s="58"/>
      <c r="K12" s="59"/>
      <c r="L12" s="66"/>
      <c r="M12" s="67"/>
      <c r="N12"/>
      <c r="O12"/>
      <c r="P12" s="68"/>
      <c r="Q12"/>
      <c r="R12"/>
      <c r="S12"/>
      <c r="T12"/>
      <c r="U12"/>
      <c r="V12"/>
      <c r="W12" s="62" t="s">
        <v>48</v>
      </c>
      <c r="X12" s="56" t="s">
        <v>49</v>
      </c>
      <c r="Y12" s="63" t="s">
        <v>50</v>
      </c>
      <c r="Z12"/>
      <c r="AA12"/>
      <c r="AB12" s="62" t="s">
        <v>51</v>
      </c>
      <c r="AC12"/>
      <c r="AD12"/>
      <c r="AE12"/>
      <c r="AF12"/>
      <c r="AG12"/>
      <c r="AH12"/>
      <c r="AI12"/>
      <c r="AJ12"/>
      <c r="AK12"/>
      <c r="AL12"/>
      <c r="AM12"/>
      <c r="AN12"/>
      <c r="AO12"/>
      <c r="AP12"/>
      <c r="AQ12"/>
      <c r="AR12"/>
      <c r="AS12"/>
      <c r="AT12"/>
      <c r="AU12"/>
      <c r="AV12"/>
      <c r="AW12"/>
      <c r="AX12" s="65"/>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56"/>
      <c r="B13" s="69" t="s">
        <v>52</v>
      </c>
      <c r="C13" s="70"/>
      <c r="D13" s="56"/>
      <c r="E13" s="56"/>
      <c r="F13"/>
      <c r="G13"/>
      <c r="H13"/>
      <c r="I13"/>
      <c r="J13"/>
      <c r="K13" s="59"/>
      <c r="L13" s="66"/>
      <c r="M13" s="67"/>
      <c r="N13"/>
      <c r="O13"/>
      <c r="P13" s="68"/>
      <c r="Q13"/>
      <c r="R13"/>
      <c r="S13" s="71"/>
      <c r="T13"/>
      <c r="U13"/>
      <c r="V13"/>
      <c r="W13" s="62" t="s">
        <v>53</v>
      </c>
      <c r="X13" s="62" t="s">
        <v>54</v>
      </c>
      <c r="Y13" s="72" t="s">
        <v>55</v>
      </c>
      <c r="Z13" s="62" t="s">
        <v>56</v>
      </c>
      <c r="AA13"/>
      <c r="AB13" s="62" t="s">
        <v>57</v>
      </c>
      <c r="AC13"/>
      <c r="AD13"/>
      <c r="AE13"/>
      <c r="AF13"/>
      <c r="AG13"/>
      <c r="AH13"/>
      <c r="AI13"/>
      <c r="AJ13"/>
      <c r="AK13"/>
      <c r="AL13"/>
      <c r="AM13"/>
      <c r="AN13"/>
      <c r="AO13"/>
      <c r="AP13"/>
      <c r="AQ13"/>
      <c r="AR13"/>
      <c r="AS13"/>
      <c r="AT13"/>
      <c r="AU13"/>
      <c r="AV13"/>
      <c r="AW13"/>
      <c r="AX13" s="65"/>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ustomHeight="1">
      <c r="A14" s="56"/>
      <c r="B14"/>
      <c r="C14" s="70"/>
      <c r="D14" s="56"/>
      <c r="E14" s="56"/>
      <c r="F14" s="61" t="s">
        <v>58</v>
      </c>
      <c r="G14" s="58"/>
      <c r="H14" s="58"/>
      <c r="I14" s="58"/>
      <c r="J14" s="58"/>
      <c r="K14" s="59"/>
      <c r="L14" s="66"/>
      <c r="M14" s="67"/>
      <c r="N14"/>
      <c r="O14"/>
      <c r="P14" s="68"/>
      <c r="Q14"/>
      <c r="R14"/>
      <c r="S14"/>
      <c r="T14"/>
      <c r="U14"/>
      <c r="V14"/>
      <c r="W14"/>
      <c r="X14" s="62" t="s">
        <v>53</v>
      </c>
      <c r="Y14" s="72" t="s">
        <v>59</v>
      </c>
      <c r="Z14" s="62" t="s">
        <v>60</v>
      </c>
      <c r="AA14"/>
      <c r="AB14" s="62" t="s">
        <v>61</v>
      </c>
      <c r="AC14"/>
      <c r="AD14"/>
      <c r="AE14"/>
      <c r="AF14"/>
      <c r="AG14"/>
      <c r="AH14"/>
      <c r="AI14"/>
      <c r="AJ14"/>
      <c r="AK14"/>
      <c r="AL14"/>
      <c r="AM14"/>
      <c r="AN14"/>
      <c r="AO14"/>
      <c r="AP14"/>
      <c r="AQ14"/>
      <c r="AR14"/>
      <c r="AS14"/>
      <c r="AT14"/>
      <c r="AU14"/>
      <c r="AV14"/>
      <c r="AW14"/>
      <c r="AX14" s="65"/>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ustomHeight="1">
      <c r="A15" s="56"/>
      <c r="B15"/>
      <c r="C15" s="70"/>
      <c r="D15" s="70"/>
      <c r="E15" s="56"/>
      <c r="F15" s="66"/>
      <c r="G15" s="60"/>
      <c r="H15" s="60"/>
      <c r="I15" s="70"/>
      <c r="J15" s="59"/>
      <c r="K15" s="59"/>
      <c r="L15" s="66"/>
      <c r="M15" s="67"/>
      <c r="N15"/>
      <c r="O15"/>
      <c r="P15" s="68"/>
      <c r="Q15"/>
      <c r="R15"/>
      <c r="S15"/>
      <c r="T15"/>
      <c r="U15"/>
      <c r="V15"/>
      <c r="W15"/>
      <c r="X15"/>
      <c r="Y15" s="69"/>
      <c r="Z15" s="56" t="s">
        <v>62</v>
      </c>
      <c r="AA15"/>
      <c r="AB15" s="62" t="s">
        <v>16</v>
      </c>
      <c r="AC15"/>
      <c r="AD15"/>
      <c r="AE15"/>
      <c r="AF15"/>
      <c r="AG15"/>
      <c r="AH15"/>
      <c r="AI15"/>
      <c r="AJ15"/>
      <c r="AK15"/>
      <c r="AL15"/>
      <c r="AM15"/>
      <c r="AN15"/>
      <c r="AO15"/>
      <c r="AP15"/>
      <c r="AQ15"/>
      <c r="AR15"/>
      <c r="AS15"/>
      <c r="AT15"/>
      <c r="AU15"/>
      <c r="AV15"/>
      <c r="AW15"/>
      <c r="AX15" s="6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9.75" customHeight="1">
      <c r="A16" s="56"/>
      <c r="B16" s="69" t="s">
        <v>63</v>
      </c>
      <c r="C16" s="70"/>
      <c r="D16" s="70"/>
      <c r="E16" s="56"/>
      <c r="F16" s="66"/>
      <c r="G16" s="60"/>
      <c r="H16" s="60"/>
      <c r="I16" s="70"/>
      <c r="J16" s="59"/>
      <c r="K16" s="59"/>
      <c r="L16" s="66"/>
      <c r="M16" s="67"/>
      <c r="N16"/>
      <c r="O16"/>
      <c r="P16" s="68"/>
      <c r="Q16"/>
      <c r="R16"/>
      <c r="S16"/>
      <c r="T16"/>
      <c r="U16"/>
      <c r="V16"/>
      <c r="W16"/>
      <c r="X16"/>
      <c r="Z16" s="56" t="s">
        <v>64</v>
      </c>
      <c r="AA16"/>
      <c r="AB16"/>
      <c r="AC16"/>
      <c r="AD16"/>
      <c r="AE16"/>
      <c r="AF16"/>
      <c r="AG16"/>
      <c r="AH16"/>
      <c r="AI16"/>
      <c r="AJ16"/>
      <c r="AK16"/>
      <c r="AL16"/>
      <c r="AM16"/>
      <c r="AN16"/>
      <c r="AO16"/>
      <c r="AP16"/>
      <c r="AQ16"/>
      <c r="AR16"/>
      <c r="AS16"/>
      <c r="AT16"/>
      <c r="AU16"/>
      <c r="AV16"/>
      <c r="AW16"/>
      <c r="AX16" s="65"/>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ustomHeight="1">
      <c r="A17" s="56"/>
      <c r="B17"/>
      <c r="C17"/>
      <c r="D17"/>
      <c r="E17" s="56"/>
      <c r="F17" s="61" t="s">
        <v>65</v>
      </c>
      <c r="G17" s="58"/>
      <c r="H17" s="58"/>
      <c r="I17" s="58"/>
      <c r="J17" s="58"/>
      <c r="K17" s="59"/>
      <c r="L17" s="66"/>
      <c r="M17" s="67"/>
      <c r="N17"/>
      <c r="O17"/>
      <c r="P17" s="68"/>
      <c r="Q17"/>
      <c r="R17"/>
      <c r="S17" s="71"/>
      <c r="T17"/>
      <c r="U17"/>
      <c r="V17"/>
      <c r="W17" s="56" t="s">
        <v>66</v>
      </c>
      <c r="X17"/>
      <c r="Y17" s="56" t="s">
        <v>67</v>
      </c>
      <c r="Z17" s="56" t="s">
        <v>68</v>
      </c>
      <c r="AA17"/>
      <c r="AB17"/>
      <c r="AC17"/>
      <c r="AD17"/>
      <c r="AE17"/>
      <c r="AF17"/>
      <c r="AG17"/>
      <c r="AH17"/>
      <c r="AI17"/>
      <c r="AJ17"/>
      <c r="AK17"/>
      <c r="AL17"/>
      <c r="AM17"/>
      <c r="AN17"/>
      <c r="AO17"/>
      <c r="AP17"/>
      <c r="AQ17"/>
      <c r="AR17"/>
      <c r="AS17"/>
      <c r="AT17"/>
      <c r="AU17"/>
      <c r="AV17"/>
      <c r="AW17"/>
      <c r="AX17" s="65"/>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56"/>
      <c r="B18"/>
      <c r="C18" s="70"/>
      <c r="D18" s="70"/>
      <c r="E18" s="56"/>
      <c r="F18"/>
      <c r="G18"/>
      <c r="H18"/>
      <c r="I18"/>
      <c r="J18"/>
      <c r="K18" s="59"/>
      <c r="L18" s="66"/>
      <c r="M18" s="67"/>
      <c r="N18"/>
      <c r="O18"/>
      <c r="P18" s="68"/>
      <c r="Q18"/>
      <c r="R18"/>
      <c r="S18"/>
      <c r="T18"/>
      <c r="U18"/>
      <c r="V18"/>
      <c r="W18" s="56" t="s">
        <v>69</v>
      </c>
      <c r="X18"/>
      <c r="Y18" s="56" t="s">
        <v>70</v>
      </c>
      <c r="Z18" s="56" t="s">
        <v>71</v>
      </c>
      <c r="AA18"/>
      <c r="AB18"/>
      <c r="AC18"/>
      <c r="AD18"/>
      <c r="AE18"/>
      <c r="AF18"/>
      <c r="AG18"/>
      <c r="AH18"/>
      <c r="AI18"/>
      <c r="AJ18"/>
      <c r="AK18"/>
      <c r="AL18"/>
      <c r="AM18"/>
      <c r="AN18"/>
      <c r="AO18"/>
      <c r="AP18"/>
      <c r="AQ18"/>
      <c r="AR18"/>
      <c r="AS18"/>
      <c r="AT18"/>
      <c r="AU18"/>
      <c r="AV18"/>
      <c r="AW18"/>
      <c r="AX18" s="65"/>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ustomHeight="1">
      <c r="A19" s="56"/>
      <c r="B19"/>
      <c r="C19" s="70"/>
      <c r="D19" s="70"/>
      <c r="E19" s="56"/>
      <c r="F19" s="66"/>
      <c r="G19" s="60"/>
      <c r="H19" s="60"/>
      <c r="I19" s="70"/>
      <c r="J19" s="59"/>
      <c r="K19" s="59"/>
      <c r="L19" s="66"/>
      <c r="M19" s="67"/>
      <c r="N19"/>
      <c r="O19"/>
      <c r="P19" s="68"/>
      <c r="Q19"/>
      <c r="R19"/>
      <c r="S19"/>
      <c r="T19"/>
      <c r="U19"/>
      <c r="V19"/>
      <c r="W19" s="56" t="s">
        <v>72</v>
      </c>
      <c r="X19"/>
      <c r="Y19" s="56" t="s">
        <v>73</v>
      </c>
      <c r="Z19" s="56" t="s">
        <v>74</v>
      </c>
      <c r="AA19"/>
      <c r="AB19"/>
      <c r="AC19"/>
      <c r="AD19"/>
      <c r="AE19"/>
      <c r="AF19"/>
      <c r="AG19"/>
      <c r="AH19"/>
      <c r="AI19"/>
      <c r="AJ19"/>
      <c r="AK19"/>
      <c r="AL19"/>
      <c r="AM19"/>
      <c r="AN19"/>
      <c r="AO19"/>
      <c r="AP19"/>
      <c r="AQ19"/>
      <c r="AR19"/>
      <c r="AS19"/>
      <c r="AT19"/>
      <c r="AU19"/>
      <c r="AV19"/>
      <c r="AW19"/>
      <c r="AX19" s="65"/>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ustomHeight="1">
      <c r="A20" s="56"/>
      <c r="B20"/>
      <c r="C20" s="70"/>
      <c r="D20" s="11"/>
      <c r="E20" s="11"/>
      <c r="F20" s="70" t="s">
        <v>75</v>
      </c>
      <c r="G20" s="51"/>
      <c r="H20" s="51"/>
      <c r="I20" s="51"/>
      <c r="J20" s="59"/>
      <c r="K20"/>
      <c r="L20" s="66"/>
      <c r="M20" s="67"/>
      <c r="N20"/>
      <c r="O20" s="73" t="s">
        <v>76</v>
      </c>
      <c r="P20" s="51"/>
      <c r="Q20" s="51"/>
      <c r="R20" s="51"/>
      <c r="S20"/>
      <c r="T20"/>
      <c r="U20"/>
      <c r="V20"/>
      <c r="W20"/>
      <c r="X20"/>
      <c r="Y20" s="56" t="s">
        <v>77</v>
      </c>
      <c r="Z20" s="74" t="s">
        <v>78</v>
      </c>
      <c r="AA20"/>
      <c r="AB20"/>
      <c r="AC20"/>
      <c r="AD20"/>
      <c r="AE20"/>
      <c r="AF20"/>
      <c r="AG20"/>
      <c r="AH20"/>
      <c r="AI20"/>
      <c r="AJ20"/>
      <c r="AK20"/>
      <c r="AL20"/>
      <c r="AM20"/>
      <c r="AN20"/>
      <c r="AO20"/>
      <c r="AP20"/>
      <c r="AQ20"/>
      <c r="AR20"/>
      <c r="AS20"/>
      <c r="AT20"/>
      <c r="AU20"/>
      <c r="AV20"/>
      <c r="AW20"/>
      <c r="AX20" s="65"/>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56"/>
      <c r="B21"/>
      <c r="C21" s="70"/>
      <c r="D21" s="70"/>
      <c r="E21"/>
      <c r="F21" s="75" t="s">
        <v>79</v>
      </c>
      <c r="G21" s="51"/>
      <c r="H21" s="51"/>
      <c r="I21" s="51"/>
      <c r="J21" s="59"/>
      <c r="K21" s="59"/>
      <c r="L21" s="66"/>
      <c r="M21" s="67"/>
      <c r="N21"/>
      <c r="O21" s="61" t="s">
        <v>80</v>
      </c>
      <c r="P21" s="51"/>
      <c r="Q21" s="51"/>
      <c r="R21" s="51"/>
      <c r="S21"/>
      <c r="T21"/>
      <c r="U21"/>
      <c r="V21"/>
      <c r="W21" s="56" t="s">
        <v>81</v>
      </c>
      <c r="X21" s="32"/>
      <c r="Y21"/>
      <c r="Z21"/>
      <c r="AA21"/>
      <c r="AB21" s="56" t="s">
        <v>82</v>
      </c>
      <c r="AC21" s="62" t="s">
        <v>83</v>
      </c>
      <c r="AD21" s="69"/>
      <c r="AE21"/>
      <c r="AF21"/>
      <c r="AG21"/>
      <c r="AH21"/>
      <c r="AI21"/>
      <c r="AJ21"/>
      <c r="AK21"/>
      <c r="AL21"/>
      <c r="AM21"/>
      <c r="AN21"/>
      <c r="AO21"/>
      <c r="AP21"/>
      <c r="AQ21"/>
      <c r="AR21"/>
      <c r="AS21"/>
      <c r="AT21"/>
      <c r="AU21"/>
      <c r="AV21"/>
      <c r="AW21"/>
      <c r="AX21" s="65"/>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 customHeight="1">
      <c r="A22" s="56"/>
      <c r="B22"/>
      <c r="C22" s="70"/>
      <c r="D22" s="70"/>
      <c r="E22"/>
      <c r="F22" s="61" t="s">
        <v>84</v>
      </c>
      <c r="G22" s="51"/>
      <c r="H22" s="51"/>
      <c r="I22" s="51"/>
      <c r="J22" s="59"/>
      <c r="K22" s="59"/>
      <c r="L22" s="66"/>
      <c r="M22" s="67"/>
      <c r="N22"/>
      <c r="O22" s="61" t="s">
        <v>85</v>
      </c>
      <c r="P22" s="51"/>
      <c r="Q22" s="51"/>
      <c r="R22" s="51"/>
      <c r="S22"/>
      <c r="T22"/>
      <c r="U22"/>
      <c r="V22"/>
      <c r="W22" s="56" t="s">
        <v>86</v>
      </c>
      <c r="X22" s="32"/>
      <c r="Y22" s="56" t="s">
        <v>87</v>
      </c>
      <c r="Z22" s="56" t="s">
        <v>88</v>
      </c>
      <c r="AA22"/>
      <c r="AB22" s="56" t="s">
        <v>89</v>
      </c>
      <c r="AC22" s="62" t="s">
        <v>90</v>
      </c>
      <c r="AD22" s="69"/>
      <c r="AE22"/>
      <c r="AF22"/>
      <c r="AG22"/>
      <c r="AH22"/>
      <c r="AI22"/>
      <c r="AJ22"/>
      <c r="AK22"/>
      <c r="AL22"/>
      <c r="AM22"/>
      <c r="AN22"/>
      <c r="AO22"/>
      <c r="AP22"/>
      <c r="AQ22"/>
      <c r="AR22"/>
      <c r="AS22"/>
      <c r="AT22"/>
      <c r="AU22"/>
      <c r="AV22"/>
      <c r="AW22"/>
      <c r="AX22" s="65"/>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0.25" customHeight="1">
      <c r="A23" s="76" t="s">
        <v>91</v>
      </c>
      <c r="B23" s="76"/>
      <c r="C23" s="76"/>
      <c r="D23" s="76"/>
      <c r="E23" s="76"/>
      <c r="F23" s="76"/>
      <c r="G23" s="51"/>
      <c r="H23" s="51"/>
      <c r="I23" s="51"/>
      <c r="J23" s="77" t="s">
        <v>92</v>
      </c>
      <c r="K23" s="77"/>
      <c r="L23" s="77"/>
      <c r="M23" s="77"/>
      <c r="N23" s="77"/>
      <c r="O23" s="77"/>
      <c r="P23" s="78"/>
      <c r="Q23" s="78"/>
      <c r="R23" s="78"/>
      <c r="S23"/>
      <c r="T23"/>
      <c r="U23"/>
      <c r="V23"/>
      <c r="W23" s="56" t="s">
        <v>93</v>
      </c>
      <c r="X23" s="32"/>
      <c r="Y23" s="56" t="s">
        <v>94</v>
      </c>
      <c r="Z23" s="56" t="s">
        <v>95</v>
      </c>
      <c r="AA23"/>
      <c r="AB23" s="69"/>
      <c r="AC23" s="62" t="s">
        <v>96</v>
      </c>
      <c r="AD23" s="69"/>
      <c r="AE23"/>
      <c r="AF23"/>
      <c r="AG23"/>
      <c r="AH23"/>
      <c r="AI23"/>
      <c r="AJ23"/>
      <c r="AK23"/>
      <c r="AL23"/>
      <c r="AM23"/>
      <c r="AN23"/>
      <c r="AO23"/>
      <c r="AP23"/>
      <c r="AQ23"/>
      <c r="AR23"/>
      <c r="AS23"/>
      <c r="AT23"/>
      <c r="AU23"/>
      <c r="AV23"/>
      <c r="AW23"/>
      <c r="AX23" s="65"/>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ustomHeight="1">
      <c r="A24"/>
      <c r="B24"/>
      <c r="C24" s="79"/>
      <c r="D24" s="79"/>
      <c r="E24" s="79"/>
      <c r="F24" s="46" t="s">
        <v>97</v>
      </c>
      <c r="G24" s="78"/>
      <c r="H24" s="79" t="s">
        <v>98</v>
      </c>
      <c r="J24" s="80" t="s">
        <v>99</v>
      </c>
      <c r="K24" s="80"/>
      <c r="L24" s="80"/>
      <c r="M24" s="80"/>
      <c r="N24" s="80"/>
      <c r="O24" s="80"/>
      <c r="P24" s="78"/>
      <c r="Q24" s="78"/>
      <c r="R24" s="78"/>
      <c r="W24" s="74" t="s">
        <v>100</v>
      </c>
      <c r="Y24" s="74" t="s">
        <v>100</v>
      </c>
      <c r="Z24" s="74" t="s">
        <v>101</v>
      </c>
      <c r="AA24" s="56"/>
      <c r="AB24" s="56"/>
      <c r="AC24" s="56"/>
      <c r="AD24" s="56"/>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75" customHeight="1">
      <c r="A25"/>
      <c r="B25"/>
      <c r="C25" s="2"/>
      <c r="D25" s="2"/>
      <c r="E25" s="81"/>
      <c r="F25" s="70" t="s">
        <v>102</v>
      </c>
      <c r="G25" s="78"/>
      <c r="H25" s="81"/>
      <c r="I25" s="82"/>
      <c r="J25" s="77" t="s">
        <v>103</v>
      </c>
      <c r="K25" s="77"/>
      <c r="L25" s="77"/>
      <c r="M25" s="77"/>
      <c r="N25" s="77"/>
      <c r="O25" s="77"/>
      <c r="P25" s="78"/>
      <c r="Q25" s="78"/>
      <c r="R25" s="78"/>
      <c r="W25"/>
      <c r="X25"/>
      <c r="Z25"/>
      <c r="AA25"/>
      <c r="AB25"/>
      <c r="AC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50" s="11" customFormat="1" ht="15" customHeight="1">
      <c r="B26" s="83"/>
      <c r="C26" s="79"/>
      <c r="D26" s="79"/>
      <c r="E26" s="79"/>
      <c r="F26" s="46" t="s">
        <v>104</v>
      </c>
      <c r="G26" s="84"/>
      <c r="H26" s="44" t="s">
        <v>105</v>
      </c>
      <c r="J26" s="77" t="s">
        <v>106</v>
      </c>
      <c r="K26" s="77"/>
      <c r="L26" s="77"/>
      <c r="M26" s="77"/>
      <c r="N26" s="77"/>
      <c r="O26" s="77"/>
      <c r="P26" s="78"/>
      <c r="Q26" s="78"/>
      <c r="R26" s="78"/>
      <c r="W26" s="5" t="s">
        <v>107</v>
      </c>
      <c r="X26" s="44" t="s">
        <v>108</v>
      </c>
      <c r="Z26" s="56" t="s">
        <v>109</v>
      </c>
      <c r="AA26" s="56"/>
      <c r="AB26" s="1"/>
      <c r="AC26" s="56" t="s">
        <v>110</v>
      </c>
      <c r="AX26" s="85"/>
    </row>
    <row r="27" spans="1:256" ht="12.75" customHeight="1">
      <c r="A27" s="11"/>
      <c r="B27" s="86"/>
      <c r="C27" s="86"/>
      <c r="D27" s="87"/>
      <c r="E27" s="88"/>
      <c r="F27" s="74"/>
      <c r="G27" s="74"/>
      <c r="H27" s="86"/>
      <c r="I27" s="86"/>
      <c r="M27" s="44"/>
      <c r="N27" s="11"/>
      <c r="O27" s="46" t="s">
        <v>111</v>
      </c>
      <c r="P27" s="89"/>
      <c r="Q27" s="89"/>
      <c r="R27" s="44" t="s">
        <v>112</v>
      </c>
      <c r="W27" s="5" t="s">
        <v>113</v>
      </c>
      <c r="X27" s="90" t="s">
        <v>114</v>
      </c>
      <c r="Z27" s="56" t="s">
        <v>115</v>
      </c>
      <c r="AB27" s="11"/>
      <c r="AC27" s="56" t="s">
        <v>116</v>
      </c>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3.5" customHeight="1">
      <c r="A28" s="11"/>
      <c r="B28" s="86"/>
      <c r="C28" s="86"/>
      <c r="D28" s="87" t="s">
        <v>117</v>
      </c>
      <c r="E28" s="88" t="s">
        <v>118</v>
      </c>
      <c r="F28" s="74" t="s">
        <v>119</v>
      </c>
      <c r="G28" s="74" t="s">
        <v>120</v>
      </c>
      <c r="H28" s="86"/>
      <c r="I28" s="86"/>
      <c r="M28" s="44"/>
      <c r="N28" s="11"/>
      <c r="O28" s="46" t="s">
        <v>121</v>
      </c>
      <c r="P28" s="91">
        <f>365-P27</f>
        <v>365</v>
      </c>
      <c r="Q28" s="91"/>
      <c r="R28" s="44" t="s">
        <v>112</v>
      </c>
      <c r="W28" s="74" t="s">
        <v>101</v>
      </c>
      <c r="X28" s="44" t="s">
        <v>122</v>
      </c>
      <c r="Z28" s="56" t="s">
        <v>123</v>
      </c>
      <c r="AC28" s="56" t="s">
        <v>124</v>
      </c>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50" s="11" customFormat="1" ht="15" customHeight="1">
      <c r="A29" s="92"/>
      <c r="B29" s="86"/>
      <c r="C29" s="86"/>
      <c r="D29" s="87" t="s">
        <v>125</v>
      </c>
      <c r="E29" s="78"/>
      <c r="F29" s="78"/>
      <c r="G29" s="78"/>
      <c r="H29" s="86"/>
      <c r="I29" s="86"/>
      <c r="J29" s="44"/>
      <c r="K29" s="44"/>
      <c r="L29" s="44"/>
      <c r="M29" s="44"/>
      <c r="O29" s="46" t="s">
        <v>126</v>
      </c>
      <c r="P29" s="78"/>
      <c r="Q29" s="78"/>
      <c r="R29" s="78"/>
      <c r="X29" s="90" t="s">
        <v>127</v>
      </c>
      <c r="Z29" s="56" t="s">
        <v>128</v>
      </c>
      <c r="AB29" s="1"/>
      <c r="AC29" s="56" t="s">
        <v>129</v>
      </c>
      <c r="AX29" s="85"/>
    </row>
    <row r="30" spans="1:256" ht="14.25">
      <c r="A30"/>
      <c r="B30" s="44"/>
      <c r="C30" s="79"/>
      <c r="D30" s="87" t="s">
        <v>130</v>
      </c>
      <c r="E30" s="78"/>
      <c r="F30" s="78"/>
      <c r="G30" s="78"/>
      <c r="H30"/>
      <c r="I30"/>
      <c r="J30" s="44"/>
      <c r="K30" s="44"/>
      <c r="L30" s="44"/>
      <c r="M30" s="44"/>
      <c r="N30" s="11"/>
      <c r="O30" s="93" t="s">
        <v>131</v>
      </c>
      <c r="P30" s="78"/>
      <c r="Q30" s="78"/>
      <c r="R30" s="78"/>
      <c r="S30" s="11"/>
      <c r="T30" s="11"/>
      <c r="U30" s="11"/>
      <c r="V30" s="11"/>
      <c r="W30" s="11"/>
      <c r="X30" s="11"/>
      <c r="Y30" s="11"/>
      <c r="Z30" s="56" t="s">
        <v>101</v>
      </c>
      <c r="AB30" s="11"/>
      <c r="AC30" s="56" t="s">
        <v>101</v>
      </c>
      <c r="AD30" s="11"/>
      <c r="AE30" s="11"/>
      <c r="AF30" s="11"/>
      <c r="AG30" s="11"/>
      <c r="AH30"/>
      <c r="AI30"/>
      <c r="AJ30"/>
      <c r="AK30"/>
      <c r="AL30"/>
      <c r="AM30"/>
      <c r="AN30"/>
      <c r="AO30"/>
      <c r="AP30"/>
      <c r="AQ30"/>
      <c r="AR30"/>
      <c r="AS30"/>
      <c r="AT30"/>
      <c r="AU30"/>
      <c r="AV30"/>
      <c r="AW30"/>
      <c r="AX30" s="85"/>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4.25">
      <c r="A31"/>
      <c r="B31"/>
      <c r="C31"/>
      <c r="D31" s="46" t="s">
        <v>132</v>
      </c>
      <c r="E31" s="78"/>
      <c r="F31" s="78"/>
      <c r="G31" s="78"/>
      <c r="H31"/>
      <c r="I31"/>
      <c r="J31"/>
      <c r="K31"/>
      <c r="L31"/>
      <c r="M31"/>
      <c r="N31"/>
      <c r="O31" s="73" t="s">
        <v>133</v>
      </c>
      <c r="P31" s="78"/>
      <c r="Q31" s="78"/>
      <c r="R31" s="78"/>
      <c r="S31"/>
      <c r="T31" s="94"/>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9.75" customHeight="1">
      <c r="A32" s="95"/>
      <c r="B32" s="95"/>
      <c r="C32" s="95"/>
      <c r="D32" s="95"/>
      <c r="E32" s="95"/>
      <c r="F32" s="95"/>
      <c r="G32" s="95"/>
      <c r="H32" s="95"/>
      <c r="I32" s="95"/>
      <c r="J32" s="95"/>
      <c r="K32" s="95"/>
      <c r="L32" s="96"/>
      <c r="M32" s="96"/>
      <c r="N32" s="95"/>
      <c r="O32" s="95"/>
      <c r="P32" s="95"/>
      <c r="Q32" s="95"/>
      <c r="R32" s="95"/>
      <c r="S32" s="95"/>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2:50" s="11" customFormat="1" ht="16.5">
      <c r="B33" s="97" t="s">
        <v>134</v>
      </c>
      <c r="C33" s="44"/>
      <c r="D33" s="44"/>
      <c r="E33" s="44"/>
      <c r="F33" s="44"/>
      <c r="G33" s="98"/>
      <c r="H33" s="99"/>
      <c r="I33" s="100"/>
      <c r="L33" s="101"/>
      <c r="M33" s="101"/>
      <c r="N33" s="98"/>
      <c r="O33" s="98"/>
      <c r="P33" s="98"/>
      <c r="AX33" s="85"/>
    </row>
    <row r="34" spans="1:256" ht="16.5">
      <c r="A34" s="11"/>
      <c r="B34"/>
      <c r="C34" s="74"/>
      <c r="D34" s="64"/>
      <c r="E34"/>
      <c r="F34" s="102"/>
      <c r="G34" s="102"/>
      <c r="H34" s="102"/>
      <c r="I34"/>
      <c r="J34" s="11"/>
      <c r="K34" s="11"/>
      <c r="L34" s="101"/>
      <c r="M34" s="101"/>
      <c r="N34" s="98"/>
      <c r="O34" s="98"/>
      <c r="P34" s="98"/>
      <c r="Q34" s="11"/>
      <c r="R34" s="11"/>
      <c r="S34"/>
      <c r="T34"/>
      <c r="U34"/>
      <c r="V34"/>
      <c r="W34"/>
      <c r="X34"/>
      <c r="Y34"/>
      <c r="Z34"/>
      <c r="AA34"/>
      <c r="AB34"/>
      <c r="AC34"/>
      <c r="AD34"/>
      <c r="AE34"/>
      <c r="AF34"/>
      <c r="AG34"/>
      <c r="AH34"/>
      <c r="AI34"/>
      <c r="AJ34"/>
      <c r="AK34"/>
      <c r="AL34"/>
      <c r="AM34"/>
      <c r="AN34"/>
      <c r="AO34"/>
      <c r="AP34"/>
      <c r="AQ34"/>
      <c r="AR34"/>
      <c r="AS34"/>
      <c r="AT34"/>
      <c r="AU34"/>
      <c r="AV34"/>
      <c r="AW34"/>
      <c r="AX34" s="85"/>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c r="A35" s="11"/>
      <c r="B35"/>
      <c r="C35" s="74"/>
      <c r="D35" s="64"/>
      <c r="E35" s="46"/>
      <c r="F35" s="46" t="s">
        <v>135</v>
      </c>
      <c r="G35" s="103"/>
      <c r="H35" s="103"/>
      <c r="I35" s="11"/>
      <c r="J35" s="11"/>
      <c r="K35" s="11"/>
      <c r="L35" s="101"/>
      <c r="M35" s="101"/>
      <c r="N35" s="98"/>
      <c r="O35" s="98"/>
      <c r="P35" s="98"/>
      <c r="Q35" s="11"/>
      <c r="R35" s="11"/>
      <c r="S35"/>
      <c r="T35"/>
      <c r="U35"/>
      <c r="V35"/>
      <c r="W35"/>
      <c r="X35"/>
      <c r="Y35"/>
      <c r="Z35"/>
      <c r="AA35"/>
      <c r="AB35"/>
      <c r="AC35"/>
      <c r="AD35"/>
      <c r="AE35"/>
      <c r="AF35"/>
      <c r="AG35"/>
      <c r="AH35"/>
      <c r="AI35"/>
      <c r="AJ35"/>
      <c r="AK35"/>
      <c r="AL35"/>
      <c r="AM35"/>
      <c r="AN35"/>
      <c r="AO35"/>
      <c r="AP35"/>
      <c r="AQ35"/>
      <c r="AR35"/>
      <c r="AS35"/>
      <c r="AT35"/>
      <c r="AU35"/>
      <c r="AV35"/>
      <c r="AW35"/>
      <c r="AX35" s="8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0.25" customHeight="1">
      <c r="A36" s="104" t="s">
        <v>136</v>
      </c>
      <c r="B36" s="104"/>
      <c r="C36" s="104"/>
      <c r="D36" s="104"/>
      <c r="E36" s="104"/>
      <c r="F36" s="104"/>
      <c r="G36" s="103"/>
      <c r="H36" s="103"/>
      <c r="I36" s="11"/>
      <c r="J36" s="11"/>
      <c r="K36" s="11"/>
      <c r="L36" s="74"/>
      <c r="M36" s="105"/>
      <c r="N36" s="105"/>
      <c r="O36" s="64"/>
      <c r="P36" s="46" t="s">
        <v>137</v>
      </c>
      <c r="Q36" s="106"/>
      <c r="R36" s="106"/>
      <c r="S36"/>
      <c r="T36"/>
      <c r="U36"/>
      <c r="V36"/>
      <c r="W36" s="74" t="s">
        <v>107</v>
      </c>
      <c r="X36" s="74" t="s">
        <v>138</v>
      </c>
      <c r="Y36" s="11"/>
      <c r="Z36" s="74" t="s">
        <v>107</v>
      </c>
      <c r="AA36"/>
      <c r="AE36"/>
      <c r="AF36"/>
      <c r="AG36"/>
      <c r="AH36"/>
      <c r="AI36"/>
      <c r="AJ36"/>
      <c r="AK36"/>
      <c r="AL36"/>
      <c r="AM36"/>
      <c r="AN36"/>
      <c r="AO36"/>
      <c r="AP36"/>
      <c r="AQ36"/>
      <c r="AR36"/>
      <c r="AS36"/>
      <c r="AT36"/>
      <c r="AU36"/>
      <c r="AV36"/>
      <c r="AW36"/>
      <c r="AX36" s="85"/>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ustomHeight="1">
      <c r="A37" s="11"/>
      <c r="B37"/>
      <c r="C37" s="79"/>
      <c r="D37"/>
      <c r="E37" s="46"/>
      <c r="F37"/>
      <c r="G37"/>
      <c r="H37"/>
      <c r="I37" s="11"/>
      <c r="J37" s="11"/>
      <c r="K37" s="11"/>
      <c r="L37" s="11"/>
      <c r="M37" s="11"/>
      <c r="N37" s="11"/>
      <c r="O37" s="11"/>
      <c r="P37" s="46" t="s">
        <v>139</v>
      </c>
      <c r="Q37" s="107"/>
      <c r="R37" s="107"/>
      <c r="S37"/>
      <c r="T37"/>
      <c r="U37"/>
      <c r="V37"/>
      <c r="W37" s="74" t="s">
        <v>140</v>
      </c>
      <c r="X37" s="74" t="s">
        <v>141</v>
      </c>
      <c r="Y37" s="11"/>
      <c r="Z37" s="74" t="s">
        <v>113</v>
      </c>
      <c r="AA37"/>
      <c r="AE37"/>
      <c r="AF37"/>
      <c r="AG37"/>
      <c r="AH37"/>
      <c r="AI37"/>
      <c r="AJ37"/>
      <c r="AK37"/>
      <c r="AL37"/>
      <c r="AM37"/>
      <c r="AN37"/>
      <c r="AO37"/>
      <c r="AP37"/>
      <c r="AQ37"/>
      <c r="AR37"/>
      <c r="AS37"/>
      <c r="AT37"/>
      <c r="AU37"/>
      <c r="AV37"/>
      <c r="AW37"/>
      <c r="AX37" s="85"/>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 customHeight="1">
      <c r="A38" s="94"/>
      <c r="B38" s="108"/>
      <c r="C38" s="44"/>
      <c r="D38"/>
      <c r="E38" s="46" t="s">
        <v>142</v>
      </c>
      <c r="F38" s="103"/>
      <c r="G38" s="103"/>
      <c r="H38" s="109" t="s">
        <v>143</v>
      </c>
      <c r="K38" s="11"/>
      <c r="L38" s="101"/>
      <c r="M38" s="101"/>
      <c r="N38" s="98"/>
      <c r="O38" s="98"/>
      <c r="P38" s="98"/>
      <c r="Q38" s="110"/>
      <c r="S38"/>
      <c r="T38"/>
      <c r="U38"/>
      <c r="V38"/>
      <c r="W38" s="5" t="s">
        <v>113</v>
      </c>
      <c r="X38" s="5" t="s">
        <v>113</v>
      </c>
      <c r="Z38" s="74" t="s">
        <v>144</v>
      </c>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5.25" customHeight="1">
      <c r="A39" s="94"/>
      <c r="B39" s="111"/>
      <c r="C39" s="44"/>
      <c r="D39"/>
      <c r="E39" s="46"/>
      <c r="F39" s="112"/>
      <c r="G39" s="112"/>
      <c r="H39" s="109"/>
      <c r="K39" s="11"/>
      <c r="L39" s="101"/>
      <c r="M39" s="101"/>
      <c r="N39" s="98"/>
      <c r="O39" s="98"/>
      <c r="P39" s="98"/>
      <c r="Q39" s="110"/>
      <c r="S39"/>
      <c r="T39"/>
      <c r="U39"/>
      <c r="V39"/>
      <c r="W39" s="5" t="s">
        <v>100</v>
      </c>
      <c r="X39" s="5" t="s">
        <v>145</v>
      </c>
      <c r="Z39" s="74" t="s">
        <v>101</v>
      </c>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4.25" customHeight="1">
      <c r="A40" s="113"/>
      <c r="B40"/>
      <c r="C40" s="44"/>
      <c r="D40"/>
      <c r="E40" s="46" t="s">
        <v>146</v>
      </c>
      <c r="F40" s="114">
        <f>Q37*12</f>
        <v>0</v>
      </c>
      <c r="G40" s="114"/>
      <c r="H40" s="109" t="s">
        <v>147</v>
      </c>
      <c r="K40" s="11"/>
      <c r="L40" s="101"/>
      <c r="M40" s="101"/>
      <c r="N40" s="98"/>
      <c r="O40" s="46" t="s">
        <v>148</v>
      </c>
      <c r="P40" s="115"/>
      <c r="Q40" s="115"/>
      <c r="R40" s="115"/>
      <c r="S40"/>
      <c r="T40" s="116"/>
      <c r="U40"/>
      <c r="V40"/>
      <c r="W40" s="5"/>
      <c r="X40" s="5"/>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s="94"/>
      <c r="B41" s="111"/>
      <c r="C41" s="79"/>
      <c r="D41" s="79"/>
      <c r="E41" s="79"/>
      <c r="F41" s="46"/>
      <c r="G41" s="112"/>
      <c r="H41" s="112"/>
      <c r="I41" s="74"/>
      <c r="J41" s="74"/>
      <c r="K41" s="11"/>
      <c r="L41" s="101"/>
      <c r="M41" s="101"/>
      <c r="N41" s="117"/>
      <c r="O41" s="117"/>
      <c r="P41" s="117"/>
      <c r="Q41"/>
      <c r="R41"/>
      <c r="S41"/>
      <c r="T41" s="116"/>
      <c r="U41"/>
      <c r="V41"/>
      <c r="W41" s="5"/>
      <c r="X41" s="5"/>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ustomHeight="1">
      <c r="A42" s="118"/>
      <c r="B42" s="119" t="s">
        <v>149</v>
      </c>
      <c r="C42" s="119"/>
      <c r="D42" s="119"/>
      <c r="E42" s="119"/>
      <c r="F42" s="119"/>
      <c r="G42" s="119"/>
      <c r="H42" s="119"/>
      <c r="I42" s="119"/>
      <c r="J42" s="120">
        <f>IF(P40="no",F40,F40-J93)</f>
        <v>0</v>
      </c>
      <c r="K42" s="120"/>
      <c r="L42" s="121" t="s">
        <v>150</v>
      </c>
      <c r="M42" s="121"/>
      <c r="N42" s="121"/>
      <c r="O42" s="121"/>
      <c r="P42" s="121"/>
      <c r="Q42" s="122">
        <f>IF(J42=0,"",J42)</f>
        <v>0</v>
      </c>
      <c r="R42" s="122"/>
      <c r="S42"/>
      <c r="T42"/>
      <c r="U42"/>
      <c r="V42"/>
      <c r="W42" s="5"/>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ustomHeight="1">
      <c r="A43" s="123"/>
      <c r="B43" s="119" t="s">
        <v>151</v>
      </c>
      <c r="C43" s="119"/>
      <c r="D43" s="119"/>
      <c r="E43" s="119"/>
      <c r="F43" s="119"/>
      <c r="G43" s="119"/>
      <c r="H43" s="119"/>
      <c r="I43" s="119"/>
      <c r="J43" s="124">
        <f>J42*F38</f>
        <v>0</v>
      </c>
      <c r="K43" s="124"/>
      <c r="L43" s="125"/>
      <c r="M43" s="125"/>
      <c r="N43" s="125"/>
      <c r="O43" s="125"/>
      <c r="P43" s="125"/>
      <c r="Q43" s="125"/>
      <c r="R43" s="125"/>
      <c r="S43"/>
      <c r="T43"/>
      <c r="U43"/>
      <c r="V43"/>
      <c r="W43" s="5"/>
      <c r="X43" s="5"/>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ustomHeight="1">
      <c r="A44" s="123"/>
      <c r="B44" s="119" t="s">
        <v>152</v>
      </c>
      <c r="C44" s="119"/>
      <c r="D44" s="119"/>
      <c r="E44" s="119"/>
      <c r="F44" s="119"/>
      <c r="G44" s="119"/>
      <c r="H44" s="119"/>
      <c r="I44" s="119" t="s">
        <v>153</v>
      </c>
      <c r="J44" s="126">
        <f>J45-J43</f>
        <v>0</v>
      </c>
      <c r="K44" s="126"/>
      <c r="L44" s="127" t="s">
        <v>154</v>
      </c>
      <c r="M44" s="127"/>
      <c r="N44" s="127"/>
      <c r="O44" s="127"/>
      <c r="P44" s="128" t="s">
        <v>155</v>
      </c>
      <c r="Q44" s="128"/>
      <c r="R44" s="129"/>
      <c r="S44"/>
      <c r="T44"/>
      <c r="U44"/>
      <c r="V44"/>
      <c r="W44" s="5" t="s">
        <v>156</v>
      </c>
      <c r="X44" s="5" t="s">
        <v>107</v>
      </c>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75" customHeight="1">
      <c r="A45" s="123"/>
      <c r="B45" s="119" t="s">
        <v>157</v>
      </c>
      <c r="C45" s="119"/>
      <c r="D45" s="119"/>
      <c r="E45" s="119"/>
      <c r="F45" s="119"/>
      <c r="G45" s="119"/>
      <c r="H45" s="119"/>
      <c r="I45" s="119" t="s">
        <v>153</v>
      </c>
      <c r="J45" s="124">
        <f>Q36*12</f>
        <v>0</v>
      </c>
      <c r="K45" s="124"/>
      <c r="L45" s="15" t="s">
        <v>158</v>
      </c>
      <c r="M45" s="15"/>
      <c r="N45" s="15"/>
      <c r="O45" s="15"/>
      <c r="P45" s="130">
        <f>IF(G26&gt;0,IF(J42&gt;0,CONCATENATE("&lt;",VLOOKUP("A",'data price+co2+consumption'!P35:Z54,11,0)),""),"Nr persons?")</f>
        <v>0</v>
      </c>
      <c r="Q45" s="130"/>
      <c r="R45" s="131">
        <f>IF(J42&gt;0,IF(Q$42&gt;0,IF(VLOOKUP("A",'data price+co2+consumption'!P$35:Q$54,2,0)=1,"x",""),""),"")</f>
        <v>0</v>
      </c>
      <c r="S45"/>
      <c r="T45"/>
      <c r="U45" s="116"/>
      <c r="V45"/>
      <c r="W45" s="5"/>
      <c r="X45" s="5" t="s">
        <v>113</v>
      </c>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75" customHeight="1">
      <c r="A46" s="123"/>
      <c r="B46" s="15" t="s">
        <v>159</v>
      </c>
      <c r="C46" s="15"/>
      <c r="D46" s="15"/>
      <c r="E46" s="15"/>
      <c r="F46" s="15"/>
      <c r="G46" s="15"/>
      <c r="H46" s="15"/>
      <c r="I46" s="132"/>
      <c r="J46" s="133"/>
      <c r="K46" s="133"/>
      <c r="L46" s="15" t="s">
        <v>160</v>
      </c>
      <c r="M46" s="15"/>
      <c r="N46" s="15"/>
      <c r="O46" s="15"/>
      <c r="P46" s="130">
        <f>IF(G26&gt;0,IF(J42&gt;0,CONCATENATE(VLOOKUP("B",'data price+co2+consumption'!P35:Z54,10,0)," - ",VLOOKUP("B",'data price+co2+consumption'!P35:Z54,11,0)),""),"Nr persons?")</f>
        <v>0</v>
      </c>
      <c r="Q46" s="130"/>
      <c r="R46" s="131">
        <f>IF(J42&gt;0,IF(Q$42&gt;0,IF(VLOOKUP("B",'data price+co2+consumption'!P$35:Q$54,2,0)=1,"x",""),""),"")</f>
        <v>0</v>
      </c>
      <c r="S46"/>
      <c r="T46"/>
      <c r="U46" s="116"/>
      <c r="V46"/>
      <c r="W46" s="5"/>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134"/>
      <c r="B47" s="102"/>
      <c r="C47" s="102"/>
      <c r="D47" s="102"/>
      <c r="E47" s="102"/>
      <c r="F47" s="102"/>
      <c r="G47" s="102"/>
      <c r="H47" s="102"/>
      <c r="I47"/>
      <c r="J47" s="133"/>
      <c r="K47" s="133"/>
      <c r="L47" s="15" t="s">
        <v>161</v>
      </c>
      <c r="M47" s="15"/>
      <c r="N47" s="15"/>
      <c r="O47" s="15"/>
      <c r="P47" s="130">
        <f>IF(G26&gt;0,IF(J42&gt;0,CONCATENATE(VLOOKUP("C",'data price+co2+consumption'!P35:Z54,10,0)," - ",VLOOKUP("C",'data price+co2+consumption'!P35:Z54,11,0)),""),"Nr persons?")</f>
        <v>0</v>
      </c>
      <c r="Q47" s="130"/>
      <c r="R47" s="131">
        <f>IF(J42&gt;0,IF(Q$42&gt;0,IF(VLOOKUP("C",'data price+co2+consumption'!P35:Q54,2,0)=1,"x",""),""),"")</f>
        <v>0</v>
      </c>
      <c r="S47"/>
      <c r="T47"/>
      <c r="U47" s="135"/>
      <c r="V47"/>
      <c r="W47" s="5"/>
      <c r="X47"/>
      <c r="Y47"/>
      <c r="Z47"/>
      <c r="AA47"/>
      <c r="AB47" s="136">
        <f>R47</f>
        <v>0</v>
      </c>
      <c r="AC47"/>
      <c r="AD47" s="136"/>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75" customHeight="1">
      <c r="A48" s="137"/>
      <c r="B48" s="15" t="s">
        <v>162</v>
      </c>
      <c r="C48" s="15"/>
      <c r="D48" s="15"/>
      <c r="E48" s="15"/>
      <c r="F48" s="15"/>
      <c r="G48" s="15"/>
      <c r="H48" s="15"/>
      <c r="I48" s="132"/>
      <c r="J48" s="133"/>
      <c r="K48" s="133"/>
      <c r="L48" s="15" t="s">
        <v>163</v>
      </c>
      <c r="M48" s="15"/>
      <c r="N48" s="15"/>
      <c r="O48" s="15"/>
      <c r="P48" s="130">
        <f>IF(G26&gt;0,IF(J42&gt;0,CONCATENATE("&gt;",VLOOKUP("D",'data price+co2+consumption'!P35:Z54,10,0)-1),""),"Nr persons?")</f>
        <v>0</v>
      </c>
      <c r="Q48" s="130"/>
      <c r="R48" s="131">
        <f>IF(J42&gt;0,IF(Q$42&gt;0,IF(VLOOKUP("D",'data price+co2+consumption'!P35:Q54,2,0)=1,"x",""),""),"")</f>
        <v>0</v>
      </c>
      <c r="S48" s="116"/>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8" customHeight="1">
      <c r="A49" s="44"/>
      <c r="B49" s="138"/>
      <c r="C49" s="138"/>
      <c r="D49" s="138"/>
      <c r="E49" s="138"/>
      <c r="F49" s="138"/>
      <c r="G49" s="139"/>
      <c r="H49" s="140"/>
      <c r="I49" s="141"/>
      <c r="J49" s="138"/>
      <c r="K49" s="138"/>
      <c r="L49" s="138"/>
      <c r="M49" s="138"/>
      <c r="N49" s="11"/>
      <c r="O49" s="138"/>
      <c r="P49" s="138"/>
      <c r="Q49" s="138"/>
      <c r="R49" s="46"/>
      <c r="S49" s="94"/>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2" customHeight="1" hidden="1">
      <c r="A50" s="44"/>
      <c r="B50"/>
      <c r="C50" s="138"/>
      <c r="D50" s="138"/>
      <c r="E50" s="46" t="s">
        <v>164</v>
      </c>
      <c r="F50" s="142"/>
      <c r="G50" s="142"/>
      <c r="H50" s="142"/>
      <c r="I50" s="142"/>
      <c r="J50" s="19"/>
      <c r="K50"/>
      <c r="L50" s="138"/>
      <c r="M50"/>
      <c r="N50" s="46" t="s">
        <v>165</v>
      </c>
      <c r="O50" s="143"/>
      <c r="P50" s="143"/>
      <c r="Q50" s="143"/>
      <c r="R50" s="143"/>
      <c r="S50" s="144"/>
      <c r="T50"/>
      <c r="U50"/>
      <c r="V50"/>
      <c r="W50" s="5" t="s">
        <v>156</v>
      </c>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hidden="1">
      <c r="A51" s="44"/>
      <c r="B51"/>
      <c r="C51" s="138"/>
      <c r="D51" s="138"/>
      <c r="E51" s="46" t="s">
        <v>166</v>
      </c>
      <c r="F51" s="145"/>
      <c r="G51" s="145"/>
      <c r="H51" s="145"/>
      <c r="I51" s="145"/>
      <c r="J51"/>
      <c r="K51"/>
      <c r="L51" s="138"/>
      <c r="M51"/>
      <c r="N51" s="46" t="s">
        <v>167</v>
      </c>
      <c r="O51" s="146"/>
      <c r="P51" s="146"/>
      <c r="Q51" s="146"/>
      <c r="R51" s="146"/>
      <c r="S51" s="94"/>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2.75" customHeight="1" hidden="1">
      <c r="A52" s="44"/>
      <c r="B52"/>
      <c r="C52" s="138"/>
      <c r="D52" s="138"/>
      <c r="E52" s="108"/>
      <c r="F52" s="138"/>
      <c r="G52" s="138"/>
      <c r="H52" s="138"/>
      <c r="I52" s="138"/>
      <c r="J52"/>
      <c r="K52"/>
      <c r="L52" s="138"/>
      <c r="M52"/>
      <c r="N52" s="46" t="s">
        <v>168</v>
      </c>
      <c r="O52" s="147">
        <f>IF(O51-F51&lt;0,W50,O51-F51)</f>
        <v>0</v>
      </c>
      <c r="P52" s="147"/>
      <c r="Q52" s="147"/>
      <c r="R52" s="147"/>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2" customHeight="1" hidden="1">
      <c r="A53" s="44"/>
      <c r="B53" s="138"/>
      <c r="C53" s="138"/>
      <c r="D53" s="138"/>
      <c r="E53" s="138"/>
      <c r="F53" s="138"/>
      <c r="G53" s="148"/>
      <c r="H53" s="138"/>
      <c r="I53" s="138"/>
      <c r="J53" s="138"/>
      <c r="K53" s="138"/>
      <c r="L53" s="138"/>
      <c r="M53" s="138"/>
      <c r="N53" s="46" t="s">
        <v>169</v>
      </c>
      <c r="O53" s="147">
        <f>IF(O52=0,0,IF(O52=W50,0,(O52*365/(O50-F50))))</f>
        <v>0</v>
      </c>
      <c r="P53" s="147"/>
      <c r="Q53" s="149">
        <f>IF(O52=0,0,IF(O52=W50,"-",(O53/J42)))</f>
        <v>0</v>
      </c>
      <c r="R53" s="149"/>
      <c r="S53"/>
      <c r="T53" s="144"/>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 customHeight="1" hidden="1">
      <c r="A54" s="150"/>
      <c r="B54" s="151"/>
      <c r="C54" s="151"/>
      <c r="D54" s="151"/>
      <c r="E54" s="151"/>
      <c r="F54" s="151"/>
      <c r="G54" s="148"/>
      <c r="H54" s="151"/>
      <c r="I54" s="151"/>
      <c r="J54" s="151"/>
      <c r="K54" s="151"/>
      <c r="L54" s="151"/>
      <c r="M54" s="151"/>
      <c r="N54" s="152"/>
      <c r="O54" s="151"/>
      <c r="P54" s="151"/>
      <c r="Q54" s="151"/>
      <c r="R54" s="153"/>
      <c r="S54" s="1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5.25" customHeight="1">
      <c r="A55" s="95"/>
      <c r="B55" s="95"/>
      <c r="C55" s="95"/>
      <c r="D55" s="95"/>
      <c r="E55" s="95"/>
      <c r="F55" s="95"/>
      <c r="G55" s="95"/>
      <c r="H55" s="95"/>
      <c r="I55" s="95"/>
      <c r="J55" s="95"/>
      <c r="K55" s="95"/>
      <c r="L55" s="96"/>
      <c r="M55" s="96"/>
      <c r="N55" s="95"/>
      <c r="O55" s="95"/>
      <c r="P55" s="95"/>
      <c r="Q55" s="95"/>
      <c r="R55" s="95"/>
      <c r="S55" s="9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c r="B56" s="97" t="s">
        <v>170</v>
      </c>
      <c r="C56" s="155"/>
      <c r="D56" s="155"/>
      <c r="E56" s="155"/>
      <c r="F56" s="155"/>
      <c r="G56" s="156"/>
      <c r="H56" s="157"/>
      <c r="I56" s="158"/>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7.5" customHeight="1">
      <c r="A57"/>
      <c r="B57" s="111"/>
      <c r="C57" s="44"/>
      <c r="D57" s="44"/>
      <c r="E57" s="44"/>
      <c r="F57" s="44"/>
      <c r="G57" s="98"/>
      <c r="H57" s="99"/>
      <c r="I57" s="100"/>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2" customHeight="1" hidden="1">
      <c r="A58" s="11"/>
      <c r="B58"/>
      <c r="C58" s="74"/>
      <c r="D58" s="64"/>
      <c r="E58" s="46" t="s">
        <v>171</v>
      </c>
      <c r="F58" s="78"/>
      <c r="G58" s="78"/>
      <c r="H58" s="78"/>
      <c r="I58" s="7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6" customHeight="1" hidden="1">
      <c r="A59" s="11"/>
      <c r="B59" s="111"/>
      <c r="C59" s="44"/>
      <c r="D59" s="44"/>
      <c r="E59" s="44"/>
      <c r="F59" s="44"/>
      <c r="G59" s="98"/>
      <c r="H59" s="99"/>
      <c r="I59" s="100"/>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2" customHeight="1">
      <c r="A60" s="11"/>
      <c r="B60"/>
      <c r="C60" s="44"/>
      <c r="D60" s="44"/>
      <c r="E60" s="46" t="s">
        <v>172</v>
      </c>
      <c r="F60" s="103"/>
      <c r="G60" s="103"/>
      <c r="H60" s="103"/>
      <c r="I60"/>
      <c r="J60" s="5"/>
      <c r="K60" s="5"/>
      <c r="L60" s="5"/>
      <c r="M60" s="5"/>
      <c r="N60" s="5"/>
      <c r="O60" s="5"/>
      <c r="P60" s="5"/>
      <c r="Q60" s="5"/>
      <c r="R60" s="5"/>
      <c r="S60" s="5"/>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ustomHeight="1">
      <c r="A61" s="11"/>
      <c r="B61"/>
      <c r="C61" s="44"/>
      <c r="D61" s="44"/>
      <c r="E61" s="46"/>
      <c r="F61"/>
      <c r="G61"/>
      <c r="H61"/>
      <c r="I61"/>
      <c r="J61" s="5"/>
      <c r="K61"/>
      <c r="L61"/>
      <c r="M61"/>
      <c r="N61"/>
      <c r="O61"/>
      <c r="P61"/>
      <c r="Q61"/>
      <c r="R61"/>
      <c r="S61" s="19"/>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50" s="11" customFormat="1" ht="12" customHeight="1">
      <c r="A62" s="159"/>
      <c r="D62" s="46"/>
      <c r="E62" s="46" t="s">
        <v>173</v>
      </c>
      <c r="F62" s="103"/>
      <c r="G62" s="103"/>
      <c r="H62" s="74" t="s">
        <v>174</v>
      </c>
      <c r="J62" s="100"/>
      <c r="K62" s="100"/>
      <c r="L62" s="101"/>
      <c r="M62" s="101"/>
      <c r="N62" s="98"/>
      <c r="O62" s="160"/>
      <c r="P62" s="98"/>
      <c r="AX62" s="85"/>
    </row>
    <row r="63" spans="1:256" ht="10.5" customHeight="1">
      <c r="A63"/>
      <c r="B63" s="161" t="s">
        <v>175</v>
      </c>
      <c r="C63" s="11"/>
      <c r="D63" s="46"/>
      <c r="F63" s="46"/>
      <c r="G63" s="162"/>
      <c r="H63" s="163"/>
      <c r="I63" s="74"/>
      <c r="J63" s="100"/>
      <c r="K63" s="100"/>
      <c r="L63" s="101"/>
      <c r="M63" s="101"/>
      <c r="N63" s="98"/>
      <c r="O63" s="160"/>
      <c r="P63" s="98"/>
      <c r="Q63"/>
      <c r="R63"/>
      <c r="S63"/>
      <c r="T63"/>
      <c r="U63"/>
      <c r="V63"/>
      <c r="W63"/>
      <c r="X63"/>
      <c r="Y63"/>
      <c r="Z63"/>
      <c r="AA63"/>
      <c r="AB63"/>
      <c r="AC63"/>
      <c r="AD63"/>
      <c r="AE63"/>
      <c r="AF63"/>
      <c r="AG63"/>
      <c r="AH63"/>
      <c r="AI63"/>
      <c r="AJ63"/>
      <c r="AK63"/>
      <c r="AL63"/>
      <c r="AM63"/>
      <c r="AN63"/>
      <c r="AO63"/>
      <c r="AP63"/>
      <c r="AQ63"/>
      <c r="AR63"/>
      <c r="AS63"/>
      <c r="AT63"/>
      <c r="AU63"/>
      <c r="AV63"/>
      <c r="AW63"/>
      <c r="AX63" s="85"/>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c r="B64" s="164" t="s">
        <v>176</v>
      </c>
      <c r="C64" s="165"/>
      <c r="D64" s="165"/>
      <c r="E64" s="165"/>
      <c r="F64" s="165"/>
      <c r="G64" s="166"/>
      <c r="H64" s="167"/>
      <c r="I64" s="168"/>
      <c r="J64" s="169"/>
      <c r="K64" s="169"/>
      <c r="L64" s="121" t="s">
        <v>177</v>
      </c>
      <c r="M64" s="121"/>
      <c r="N64" s="121"/>
      <c r="O64" s="121"/>
      <c r="P64" s="121"/>
      <c r="Q64" s="170">
        <f>IF(J66=0,"",ROUND(SUM(J66/G26),0))</f>
        <v>0</v>
      </c>
      <c r="R64" s="170"/>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2.75" customHeight="1">
      <c r="A65"/>
      <c r="B65" s="171"/>
      <c r="C65" s="171"/>
      <c r="D65" s="171"/>
      <c r="E65" s="171"/>
      <c r="F65" s="171"/>
      <c r="G65" s="171"/>
      <c r="H65" s="171"/>
      <c r="I65" s="171"/>
      <c r="J65" s="171"/>
      <c r="K65" s="171"/>
      <c r="L65" s="127" t="s">
        <v>154</v>
      </c>
      <c r="M65" s="127"/>
      <c r="N65" s="127"/>
      <c r="O65" s="127"/>
      <c r="P65" s="128" t="s">
        <v>178</v>
      </c>
      <c r="Q65" s="128"/>
      <c r="R65" s="129"/>
      <c r="S65"/>
      <c r="T65"/>
      <c r="U65"/>
      <c r="V65"/>
      <c r="W65"/>
      <c r="X65"/>
      <c r="Y65"/>
      <c r="Z65"/>
      <c r="AA65"/>
      <c r="AB65" s="172"/>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75" customHeight="1">
      <c r="A66"/>
      <c r="B66" s="173" t="s">
        <v>179</v>
      </c>
      <c r="C66" s="173"/>
      <c r="D66" s="173"/>
      <c r="E66" s="173"/>
      <c r="F66" s="173"/>
      <c r="G66" s="173"/>
      <c r="H66" s="173"/>
      <c r="I66" s="173"/>
      <c r="J66" s="103">
        <f>F60*12</f>
        <v>0</v>
      </c>
      <c r="K66" s="103"/>
      <c r="L66" s="15" t="s">
        <v>180</v>
      </c>
      <c r="M66" s="15"/>
      <c r="N66" s="15"/>
      <c r="O66" s="15"/>
      <c r="P66" s="130" t="s">
        <v>181</v>
      </c>
      <c r="Q66" s="130"/>
      <c r="R66" s="131">
        <f>IF(Q$64&gt;0,IF(Q$64&lt;25,"x",""),"")</f>
        <v>0</v>
      </c>
      <c r="S66"/>
      <c r="T66"/>
      <c r="U66"/>
      <c r="V66"/>
      <c r="W66" s="5" t="s">
        <v>156</v>
      </c>
      <c r="X66"/>
      <c r="Y66"/>
      <c r="Z66"/>
      <c r="AA66" s="14">
        <f aca="true" t="shared" si="0" ref="AA66:AA67">R66</f>
        <v>0</v>
      </c>
      <c r="AB66" s="11"/>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75" customHeight="1">
      <c r="A67"/>
      <c r="B67" s="173" t="s">
        <v>182</v>
      </c>
      <c r="C67" s="173"/>
      <c r="D67" s="173"/>
      <c r="E67" s="173"/>
      <c r="F67" s="173"/>
      <c r="G67" s="173"/>
      <c r="H67" s="173"/>
      <c r="I67" s="173"/>
      <c r="J67" s="174">
        <f>J66*F62</f>
        <v>0</v>
      </c>
      <c r="K67" s="174"/>
      <c r="L67" s="15" t="s">
        <v>158</v>
      </c>
      <c r="M67" s="15"/>
      <c r="N67" s="15"/>
      <c r="O67" s="15"/>
      <c r="P67" s="130" t="s">
        <v>183</v>
      </c>
      <c r="Q67" s="130"/>
      <c r="R67" s="131">
        <f>IF(Q$64&gt;=25,IF(Q$64&lt;36,"x",""),"")</f>
        <v>0</v>
      </c>
      <c r="S67"/>
      <c r="T67"/>
      <c r="U67"/>
      <c r="V67"/>
      <c r="W67"/>
      <c r="X67"/>
      <c r="Y67"/>
      <c r="Z67"/>
      <c r="AA67" s="14">
        <f t="shared" si="0"/>
        <v>0</v>
      </c>
      <c r="AB67" s="11"/>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5.75" customHeight="1">
      <c r="A68"/>
      <c r="B68" s="173"/>
      <c r="C68" s="173"/>
      <c r="D68" s="173"/>
      <c r="E68" s="173"/>
      <c r="F68" s="173"/>
      <c r="G68" s="173"/>
      <c r="H68" s="173"/>
      <c r="I68" s="173"/>
      <c r="J68" s="102"/>
      <c r="K68" s="102"/>
      <c r="L68" s="15" t="s">
        <v>184</v>
      </c>
      <c r="M68" s="15"/>
      <c r="N68" s="15"/>
      <c r="O68" s="15" t="s">
        <v>185</v>
      </c>
      <c r="P68" s="130" t="s">
        <v>186</v>
      </c>
      <c r="Q68" s="130"/>
      <c r="R68" s="131">
        <f>IF(Q$64&gt;=36,IF(Q$64&lt;46,"x",""),"")</f>
        <v>0</v>
      </c>
      <c r="S68"/>
      <c r="T68"/>
      <c r="U68"/>
      <c r="V68"/>
      <c r="W68" s="5"/>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75" customHeight="1">
      <c r="A69"/>
      <c r="B69" s="173" t="s">
        <v>157</v>
      </c>
      <c r="C69" s="173"/>
      <c r="D69" s="173"/>
      <c r="E69" s="173"/>
      <c r="F69" s="173"/>
      <c r="G69" s="173"/>
      <c r="H69" s="173"/>
      <c r="I69" s="173"/>
      <c r="J69" s="175">
        <f>J66*F62</f>
        <v>0</v>
      </c>
      <c r="K69" s="175"/>
      <c r="L69" s="15" t="s">
        <v>161</v>
      </c>
      <c r="M69" s="15"/>
      <c r="N69" s="15"/>
      <c r="O69" s="15" t="s">
        <v>187</v>
      </c>
      <c r="P69" s="130" t="s">
        <v>188</v>
      </c>
      <c r="Q69" s="130"/>
      <c r="R69" s="131">
        <f>IF(Q$64&gt;=46,IF(Q$64&lt;56,"x",""),"")</f>
        <v>0</v>
      </c>
      <c r="S69"/>
      <c r="T69"/>
      <c r="U69"/>
      <c r="V69"/>
      <c r="W69" s="5"/>
      <c r="X69"/>
      <c r="Y69"/>
      <c r="Z69"/>
      <c r="AA69" s="14">
        <f>R69</f>
        <v>0</v>
      </c>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75" customHeight="1">
      <c r="A70"/>
      <c r="B70" s="173"/>
      <c r="C70" s="173"/>
      <c r="D70" s="173"/>
      <c r="E70" s="173"/>
      <c r="F70" s="173"/>
      <c r="G70" s="173"/>
      <c r="H70" s="173"/>
      <c r="I70" s="173"/>
      <c r="J70" s="176"/>
      <c r="K70" s="176"/>
      <c r="L70" s="15" t="s">
        <v>163</v>
      </c>
      <c r="M70" s="15"/>
      <c r="N70" s="15"/>
      <c r="O70" s="15" t="s">
        <v>189</v>
      </c>
      <c r="P70" s="130" t="s">
        <v>190</v>
      </c>
      <c r="Q70" s="130"/>
      <c r="R70" s="131">
        <f>IF(Q64&lt;&gt;"",IF(Q$64&gt;=56,"x",""),"")</f>
        <v>0</v>
      </c>
      <c r="S70"/>
      <c r="T70"/>
      <c r="U70"/>
      <c r="V70"/>
      <c r="W70"/>
      <c r="X70"/>
      <c r="Y70"/>
      <c r="Z70"/>
      <c r="AA70" s="14"/>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6.75" customHeight="1">
      <c r="A71"/>
      <c r="B71" s="177"/>
      <c r="C71" s="177"/>
      <c r="D71" s="177"/>
      <c r="E71" s="177"/>
      <c r="F71" s="177"/>
      <c r="G71" s="177"/>
      <c r="H71" s="177"/>
      <c r="I71" s="177"/>
      <c r="J71" s="177"/>
      <c r="K71" s="177"/>
      <c r="L71" s="46"/>
      <c r="M71" s="46"/>
      <c r="N71" s="46"/>
      <c r="O71" s="46"/>
      <c r="P71" s="105"/>
      <c r="Q71" s="105"/>
      <c r="R71" s="178"/>
      <c r="S71"/>
      <c r="T71"/>
      <c r="U71"/>
      <c r="V71"/>
      <c r="W71"/>
      <c r="X71"/>
      <c r="Y71"/>
      <c r="Z71"/>
      <c r="AA71" s="14"/>
      <c r="AB71" s="79"/>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2" customHeight="1" hidden="1">
      <c r="A72" s="44"/>
      <c r="B72" s="179"/>
      <c r="C72" s="138"/>
      <c r="D72" s="138"/>
      <c r="E72" s="46" t="s">
        <v>164</v>
      </c>
      <c r="F72" s="142"/>
      <c r="G72" s="142"/>
      <c r="H72" s="142"/>
      <c r="I72" s="142"/>
      <c r="J72"/>
      <c r="K72" s="179"/>
      <c r="L72" s="138"/>
      <c r="M72" s="138"/>
      <c r="N72" s="46" t="s">
        <v>165</v>
      </c>
      <c r="O72" s="143"/>
      <c r="P72" s="143"/>
      <c r="Q72" s="143"/>
      <c r="R72" s="143"/>
      <c r="S72" s="144"/>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1.25" customHeight="1" hidden="1">
      <c r="A73" s="44"/>
      <c r="B73" s="179"/>
      <c r="C73" s="138"/>
      <c r="D73" s="138"/>
      <c r="E73" s="46" t="s">
        <v>166</v>
      </c>
      <c r="F73" s="145"/>
      <c r="G73" s="145"/>
      <c r="H73" s="145"/>
      <c r="I73" s="145"/>
      <c r="J73"/>
      <c r="K73" s="179"/>
      <c r="L73" s="138"/>
      <c r="M73" s="138"/>
      <c r="N73" s="46" t="s">
        <v>167</v>
      </c>
      <c r="O73" s="180"/>
      <c r="P73" s="180"/>
      <c r="Q73" s="180"/>
      <c r="R73" s="180"/>
      <c r="S73" s="94"/>
      <c r="T73"/>
      <c r="U73" s="181"/>
      <c r="V73" s="182"/>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2" customHeight="1" hidden="1">
      <c r="A74" s="44"/>
      <c r="B74" s="179"/>
      <c r="C74" s="138"/>
      <c r="D74" s="138"/>
      <c r="E74" s="108"/>
      <c r="F74"/>
      <c r="G74"/>
      <c r="H74"/>
      <c r="I74"/>
      <c r="J74"/>
      <c r="K74" s="179"/>
      <c r="L74" s="138"/>
      <c r="M74"/>
      <c r="N74" s="46" t="s">
        <v>191</v>
      </c>
      <c r="O74" s="147">
        <f>IF(O73-F73&lt;0,W74,O73-F73)</f>
        <v>0</v>
      </c>
      <c r="P74" s="147"/>
      <c r="Q74" s="147"/>
      <c r="R74" s="147"/>
      <c r="S74" s="144"/>
      <c r="T74"/>
      <c r="U74" s="183"/>
      <c r="V74"/>
      <c r="W74" s="5" t="s">
        <v>156</v>
      </c>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1.25" customHeight="1" hidden="1">
      <c r="A75" s="44"/>
      <c r="B75" s="179"/>
      <c r="C75" s="138"/>
      <c r="D75" s="138"/>
      <c r="E75" s="108"/>
      <c r="F75"/>
      <c r="G75"/>
      <c r="H75"/>
      <c r="I75"/>
      <c r="J75"/>
      <c r="K75" s="179"/>
      <c r="L75" s="138"/>
      <c r="M75"/>
      <c r="N75" s="46" t="s">
        <v>192</v>
      </c>
      <c r="O75" s="184">
        <f>IF(O74=0,0,IF(O74=W74,0,(O74*365/(O72-F72))))</f>
        <v>0</v>
      </c>
      <c r="P75" s="184"/>
      <c r="Q75" s="149">
        <f>IF(O74=0,0,IF(O74=W74,"-",(O75/J66)))</f>
        <v>0</v>
      </c>
      <c r="R75" s="149"/>
      <c r="S75"/>
      <c r="T75" s="144"/>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2" customHeight="1">
      <c r="A76"/>
      <c r="B76" s="177"/>
      <c r="C76" s="177"/>
      <c r="D76" s="177"/>
      <c r="E76" s="177"/>
      <c r="F76" s="177"/>
      <c r="G76" s="177"/>
      <c r="H76" s="177"/>
      <c r="I76" s="177"/>
      <c r="J76" s="177"/>
      <c r="K76" s="177"/>
      <c r="L76" s="46"/>
      <c r="M76" s="46"/>
      <c r="N76" s="46"/>
      <c r="O76"/>
      <c r="P76"/>
      <c r="Q76"/>
      <c r="R76"/>
      <c r="S76"/>
      <c r="T76"/>
      <c r="U76"/>
      <c r="V76"/>
      <c r="W76" s="5"/>
      <c r="X76" s="5"/>
      <c r="Y76" s="5"/>
      <c r="Z76"/>
      <c r="AA76" s="185"/>
      <c r="AB76" s="79"/>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6" customHeight="1">
      <c r="A77" s="95"/>
      <c r="B77" s="95"/>
      <c r="C77" s="95"/>
      <c r="D77" s="95"/>
      <c r="E77" s="95"/>
      <c r="F77" s="95"/>
      <c r="G77" s="95"/>
      <c r="H77" s="95"/>
      <c r="I77" s="95"/>
      <c r="J77" s="95"/>
      <c r="K77" s="95"/>
      <c r="L77" s="96"/>
      <c r="M77" s="96"/>
      <c r="N77" s="95"/>
      <c r="O77" s="95"/>
      <c r="P77" s="95"/>
      <c r="Q77" s="95"/>
      <c r="R77" s="95"/>
      <c r="S77" s="95"/>
      <c r="T77" s="94"/>
      <c r="U77"/>
      <c r="V77"/>
      <c r="W77" s="5"/>
      <c r="X77" s="5"/>
      <c r="Y77" s="5"/>
      <c r="Z77"/>
      <c r="AA77" s="5"/>
      <c r="AB77" s="185"/>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50" s="11" customFormat="1" ht="19.5" customHeight="1">
      <c r="B78" s="186" t="s">
        <v>193</v>
      </c>
      <c r="C78" s="44"/>
      <c r="D78" s="44"/>
      <c r="E78" s="44"/>
      <c r="F78" s="44"/>
      <c r="G78" s="101"/>
      <c r="H78" s="101"/>
      <c r="I78" s="101"/>
      <c r="J78" s="101"/>
      <c r="K78" s="101"/>
      <c r="L78" s="101"/>
      <c r="M78" s="101"/>
      <c r="N78" s="98"/>
      <c r="O78" s="98"/>
      <c r="P78" s="98"/>
      <c r="Q78" s="98"/>
      <c r="W78" s="74"/>
      <c r="X78" s="74"/>
      <c r="Y78" s="74"/>
      <c r="AA78" s="74"/>
      <c r="AB78" s="74"/>
      <c r="AX78" s="85"/>
    </row>
    <row r="79" spans="1:256" ht="8.25" customHeight="1">
      <c r="A79" s="11"/>
      <c r="B79" s="111"/>
      <c r="C79" s="44"/>
      <c r="D79" s="44"/>
      <c r="E79" s="44"/>
      <c r="F79" s="44"/>
      <c r="G79" s="101"/>
      <c r="H79" s="101"/>
      <c r="I79" s="101"/>
      <c r="J79" s="101"/>
      <c r="K79" s="101"/>
      <c r="L79" s="101"/>
      <c r="M79" s="101"/>
      <c r="N79" s="98"/>
      <c r="O79" s="98"/>
      <c r="P79" s="98"/>
      <c r="Q79" s="98"/>
      <c r="R79"/>
      <c r="S79"/>
      <c r="T79"/>
      <c r="U79"/>
      <c r="V79"/>
      <c r="W79" s="5"/>
      <c r="X79" s="5"/>
      <c r="Y79" s="5"/>
      <c r="Z79"/>
      <c r="AA79" s="5"/>
      <c r="AB79" s="5"/>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 customHeight="1" hidden="1">
      <c r="A80" s="11"/>
      <c r="B80" s="111"/>
      <c r="C80" s="44"/>
      <c r="D80"/>
      <c r="E80" s="11"/>
      <c r="F80" s="101"/>
      <c r="G80" s="46" t="s">
        <v>171</v>
      </c>
      <c r="H80" s="78"/>
      <c r="I80" s="78"/>
      <c r="J80" s="78"/>
      <c r="K80" s="78"/>
      <c r="L80" s="101"/>
      <c r="M80" s="101"/>
      <c r="N80" s="98"/>
      <c r="O80" s="98"/>
      <c r="P80" s="98"/>
      <c r="Q80" s="98"/>
      <c r="R80"/>
      <c r="S80"/>
      <c r="T80"/>
      <c r="U80"/>
      <c r="V80"/>
      <c r="W80" s="5"/>
      <c r="X80" s="5"/>
      <c r="Y80" s="5"/>
      <c r="Z80"/>
      <c r="AA80" s="5"/>
      <c r="AB80" s="5"/>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9.75" customHeight="1" hidden="1">
      <c r="A81" s="11"/>
      <c r="B81" s="111"/>
      <c r="C81" s="44"/>
      <c r="D81" s="79"/>
      <c r="E81" s="44"/>
      <c r="F81" s="44"/>
      <c r="H81" s="101"/>
      <c r="I81" s="101"/>
      <c r="J81" s="101"/>
      <c r="K81" s="101"/>
      <c r="L81" s="101"/>
      <c r="M81" s="101"/>
      <c r="N81" s="98"/>
      <c r="O81" s="98"/>
      <c r="P81" s="98"/>
      <c r="Q81" s="98"/>
      <c r="R81"/>
      <c r="S81"/>
      <c r="T81"/>
      <c r="U81"/>
      <c r="V81"/>
      <c r="W81" s="90"/>
      <c r="X81" s="5"/>
      <c r="Y81" s="5"/>
      <c r="Z81"/>
      <c r="AA81" s="5"/>
      <c r="AB81" s="5"/>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2.75" hidden="1">
      <c r="A82"/>
      <c r="B82"/>
      <c r="C82" s="79"/>
      <c r="D82"/>
      <c r="E82" s="79"/>
      <c r="F82" s="79"/>
      <c r="G82" s="46" t="s">
        <v>194</v>
      </c>
      <c r="H82" s="187"/>
      <c r="I82" s="187"/>
      <c r="J82"/>
      <c r="K82" s="74"/>
      <c r="L82" s="74"/>
      <c r="M82" s="74"/>
      <c r="N82" s="74"/>
      <c r="O82" s="74"/>
      <c r="P82" s="74"/>
      <c r="Q82" s="74"/>
      <c r="R82"/>
      <c r="S82"/>
      <c r="T82"/>
      <c r="U82"/>
      <c r="V82"/>
      <c r="W82" s="5"/>
      <c r="X82" s="5"/>
      <c r="Y82"/>
      <c r="Z82"/>
      <c r="AA82" s="5"/>
      <c r="AB82" s="188"/>
      <c r="AC82" s="188"/>
      <c r="AD82" s="189"/>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4.25" customHeight="1">
      <c r="A83" s="94"/>
      <c r="B83"/>
      <c r="C83" s="44"/>
      <c r="D83" s="44"/>
      <c r="E83" s="44"/>
      <c r="F83" s="44"/>
      <c r="G83" s="46" t="s">
        <v>195</v>
      </c>
      <c r="H83" s="103"/>
      <c r="I83" s="103"/>
      <c r="J83" s="88" t="s">
        <v>196</v>
      </c>
      <c r="K83"/>
      <c r="L83"/>
      <c r="M83"/>
      <c r="N83" s="190"/>
      <c r="O83"/>
      <c r="P83" s="102"/>
      <c r="Q83" s="102"/>
      <c r="R83" s="102"/>
      <c r="S83" s="5"/>
      <c r="T83"/>
      <c r="U83"/>
      <c r="V83"/>
      <c r="W83" s="90" t="s">
        <v>197</v>
      </c>
      <c r="X83" s="5"/>
      <c r="Y83" s="90" t="s">
        <v>198</v>
      </c>
      <c r="Z83" s="90">
        <f>'data price+co2+consumption'!B19</f>
        <v>0</v>
      </c>
      <c r="AA83" s="5"/>
      <c r="AB83" s="5"/>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8.25" customHeight="1">
      <c r="A84" s="11"/>
      <c r="B84" s="191"/>
      <c r="C84" s="44"/>
      <c r="D84" s="44"/>
      <c r="E84" s="44"/>
      <c r="F84" s="44"/>
      <c r="G84" s="192"/>
      <c r="H84" s="193"/>
      <c r="I84" s="194"/>
      <c r="J84" s="5"/>
      <c r="K84" s="5"/>
      <c r="L84" s="191"/>
      <c r="M84" s="105"/>
      <c r="N84" s="105"/>
      <c r="O84" s="135"/>
      <c r="P84" s="64"/>
      <c r="Q84" s="64"/>
      <c r="R84" s="5"/>
      <c r="S84" s="5"/>
      <c r="T84"/>
      <c r="U84"/>
      <c r="V84"/>
      <c r="W84" s="90" t="s">
        <v>199</v>
      </c>
      <c r="X84" s="5"/>
      <c r="Y84" s="90" t="s">
        <v>200</v>
      </c>
      <c r="Z84" s="90">
        <f>'data price+co2+consumption'!B20</f>
        <v>0</v>
      </c>
      <c r="AA84" s="5"/>
      <c r="AB84" s="5"/>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15" customHeight="1">
      <c r="A85" s="11"/>
      <c r="B85"/>
      <c r="C85" s="44"/>
      <c r="D85" s="44"/>
      <c r="E85" s="44"/>
      <c r="F85" s="44"/>
      <c r="G85" s="46" t="s">
        <v>201</v>
      </c>
      <c r="H85" s="78"/>
      <c r="I85" s="78"/>
      <c r="J85" s="78"/>
      <c r="K85" s="78"/>
      <c r="L85" s="78"/>
      <c r="M85" s="78"/>
      <c r="N85" s="82" t="s">
        <v>202</v>
      </c>
      <c r="O85" t="s">
        <v>203</v>
      </c>
      <c r="P85" s="62" t="s">
        <v>204</v>
      </c>
      <c r="Q85"/>
      <c r="R85"/>
      <c r="S85"/>
      <c r="T85" s="195"/>
      <c r="U85"/>
      <c r="V85"/>
      <c r="W85" s="90" t="s">
        <v>205</v>
      </c>
      <c r="X85" s="5"/>
      <c r="Y85" s="90" t="s">
        <v>206</v>
      </c>
      <c r="Z85" s="90">
        <f>'data price+co2+consumption'!B21</f>
        <v>0</v>
      </c>
      <c r="AA85" s="5"/>
      <c r="AB85" s="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75" customHeight="1">
      <c r="A86" s="11"/>
      <c r="B86"/>
      <c r="C86" s="44"/>
      <c r="D86" s="44"/>
      <c r="E86" s="44"/>
      <c r="F86" s="44"/>
      <c r="G86" s="46" t="s">
        <v>207</v>
      </c>
      <c r="H86" s="78"/>
      <c r="I86" s="78"/>
      <c r="J86" s="78"/>
      <c r="K86" s="78"/>
      <c r="L86" s="78"/>
      <c r="M86" s="78"/>
      <c r="N86" s="196"/>
      <c r="O86" s="192"/>
      <c r="P86" s="51"/>
      <c r="Q86" s="51"/>
      <c r="R86" s="51"/>
      <c r="S86"/>
      <c r="T86"/>
      <c r="U86"/>
      <c r="V86"/>
      <c r="W86" s="90" t="s">
        <v>208</v>
      </c>
      <c r="X86" s="5"/>
      <c r="Y86" s="90" t="s">
        <v>209</v>
      </c>
      <c r="Z86" s="90">
        <f>'data price+co2+consumption'!B22</f>
        <v>0</v>
      </c>
      <c r="AA86" s="5"/>
      <c r="AB86" s="5"/>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1.25" customHeight="1">
      <c r="A87" s="11"/>
      <c r="B87" s="197"/>
      <c r="C87" s="44"/>
      <c r="D87" s="44"/>
      <c r="E87" s="44"/>
      <c r="F87" s="44"/>
      <c r="G87" s="73" t="s">
        <v>210</v>
      </c>
      <c r="H87" s="103"/>
      <c r="I87" s="103"/>
      <c r="J87"/>
      <c r="K87"/>
      <c r="L87"/>
      <c r="M87"/>
      <c r="N87"/>
      <c r="O87"/>
      <c r="P87"/>
      <c r="Q87" s="198"/>
      <c r="R87" s="199"/>
      <c r="S87" s="198"/>
      <c r="T87"/>
      <c r="U87"/>
      <c r="V87"/>
      <c r="W87" s="90" t="s">
        <v>206</v>
      </c>
      <c r="X87" s="5"/>
      <c r="Y87" s="5"/>
      <c r="Z87" s="90">
        <f>'data price+co2+consumption'!B23</f>
        <v>0</v>
      </c>
      <c r="AA87" s="5"/>
      <c r="AB87" s="5"/>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7.5" customHeight="1">
      <c r="A88" s="11"/>
      <c r="B88"/>
      <c r="C88" s="11"/>
      <c r="D88"/>
      <c r="E88"/>
      <c r="F88"/>
      <c r="G88" s="46"/>
      <c r="H88" s="102"/>
      <c r="I88" s="102"/>
      <c r="J88" s="102"/>
      <c r="K88" s="135"/>
      <c r="L88"/>
      <c r="M88"/>
      <c r="N88"/>
      <c r="O88"/>
      <c r="P88" s="198"/>
      <c r="Q88"/>
      <c r="R88"/>
      <c r="S88"/>
      <c r="T88"/>
      <c r="U88"/>
      <c r="V88"/>
      <c r="W88" s="5" t="s">
        <v>211</v>
      </c>
      <c r="X88" s="5"/>
      <c r="Y88" s="5"/>
      <c r="Z88" s="90">
        <f>'data price+co2+consumption'!B24</f>
        <v>0</v>
      </c>
      <c r="AA88" s="5"/>
      <c r="AB88" s="5"/>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3.5" customHeight="1">
      <c r="A89" s="11"/>
      <c r="B89"/>
      <c r="C89" s="44"/>
      <c r="D89" s="44"/>
      <c r="E89" s="44"/>
      <c r="F89" s="44"/>
      <c r="G89" s="46" t="s">
        <v>212</v>
      </c>
      <c r="H89" s="78"/>
      <c r="I89" s="78"/>
      <c r="J89"/>
      <c r="K89"/>
      <c r="L89"/>
      <c r="M89" s="101"/>
      <c r="N89" s="98"/>
      <c r="O89" s="160"/>
      <c r="P89" s="200"/>
      <c r="Q89" s="196"/>
      <c r="R89" s="201"/>
      <c r="S89" s="196"/>
      <c r="T89"/>
      <c r="U89"/>
      <c r="V89"/>
      <c r="W89" s="5" t="s">
        <v>213</v>
      </c>
      <c r="X89" s="5"/>
      <c r="Y89" s="5"/>
      <c r="Z89" s="90">
        <f>'data price+co2+consumption'!B25</f>
        <v>0</v>
      </c>
      <c r="AA89" s="5"/>
      <c r="AB89" s="5"/>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6" customHeight="1">
      <c r="A90" s="11"/>
      <c r="B90"/>
      <c r="C90" s="44"/>
      <c r="D90" s="44"/>
      <c r="E90" s="44"/>
      <c r="F90" s="44"/>
      <c r="G90" s="25"/>
      <c r="H90"/>
      <c r="I90"/>
      <c r="J90"/>
      <c r="K90"/>
      <c r="L90"/>
      <c r="M90"/>
      <c r="N90"/>
      <c r="O90"/>
      <c r="P90"/>
      <c r="Q90" s="202"/>
      <c r="R90" s="199"/>
      <c r="S90" s="202"/>
      <c r="T90"/>
      <c r="U90"/>
      <c r="V90"/>
      <c r="W90" s="5" t="s">
        <v>214</v>
      </c>
      <c r="X90" s="5"/>
      <c r="Y90" s="5"/>
      <c r="Z90" s="90" t="s">
        <v>101</v>
      </c>
      <c r="AA90" s="5"/>
      <c r="AB90" s="5"/>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30.75" customHeight="1">
      <c r="A91" s="11"/>
      <c r="B91" s="203" t="s">
        <v>215</v>
      </c>
      <c r="C91" s="203"/>
      <c r="D91" s="203"/>
      <c r="E91" s="203"/>
      <c r="F91" s="203"/>
      <c r="G91" s="203"/>
      <c r="H91" s="203"/>
      <c r="I91" s="203"/>
      <c r="J91" s="203"/>
      <c r="K91" s="203"/>
      <c r="L91" s="203"/>
      <c r="M91" s="203"/>
      <c r="N91" s="203"/>
      <c r="O91" s="203"/>
      <c r="P91" s="203"/>
      <c r="Q91" s="203"/>
      <c r="R91" s="203"/>
      <c r="S91"/>
      <c r="T91"/>
      <c r="U91"/>
      <c r="V91"/>
      <c r="W91" s="90" t="s">
        <v>101</v>
      </c>
      <c r="X91" s="5"/>
      <c r="Y91" s="5"/>
      <c r="Z91"/>
      <c r="AA91" s="5"/>
      <c r="AB91" s="5"/>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75" customHeight="1">
      <c r="A92"/>
      <c r="B92" s="204" t="s">
        <v>216</v>
      </c>
      <c r="C92" s="165"/>
      <c r="D92" s="205"/>
      <c r="E92" s="206"/>
      <c r="F92" s="207"/>
      <c r="G92" s="208" t="s">
        <v>217</v>
      </c>
      <c r="H92" s="209" t="s">
        <v>218</v>
      </c>
      <c r="I92" s="209"/>
      <c r="J92" s="210" t="s">
        <v>147</v>
      </c>
      <c r="K92" s="210"/>
      <c r="L92" s="211"/>
      <c r="M92" s="211"/>
      <c r="N92" s="212" t="s">
        <v>219</v>
      </c>
      <c r="O92" s="211"/>
      <c r="P92" s="213"/>
      <c r="Q92" s="170">
        <f>IF(G24&lt;=0,"",ROUND(J100/G24,0))</f>
        <v>0</v>
      </c>
      <c r="R92" s="170"/>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75" customHeight="1">
      <c r="A93"/>
      <c r="B93" s="214" t="s">
        <v>220</v>
      </c>
      <c r="C93" s="214"/>
      <c r="D93" s="214"/>
      <c r="E93" s="214"/>
      <c r="F93" s="214"/>
      <c r="G93" s="215"/>
      <c r="H93" s="215"/>
      <c r="I93" s="215"/>
      <c r="J93" s="216"/>
      <c r="K93" s="216"/>
      <c r="L93" s="217" t="s">
        <v>221</v>
      </c>
      <c r="M93" s="217"/>
      <c r="N93" s="217"/>
      <c r="O93" s="217"/>
      <c r="P93" s="217"/>
      <c r="Q93" s="217"/>
      <c r="R93" s="217"/>
      <c r="S93"/>
      <c r="T93"/>
      <c r="U93"/>
      <c r="V93"/>
      <c r="W93" s="90" t="s">
        <v>107</v>
      </c>
      <c r="X93" s="49"/>
      <c r="Y93" s="49"/>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75" customHeight="1">
      <c r="A94"/>
      <c r="B94" s="218" t="s">
        <v>222</v>
      </c>
      <c r="C94" s="218"/>
      <c r="D94" s="218"/>
      <c r="E94" s="218"/>
      <c r="F94" s="218"/>
      <c r="G94" s="219">
        <v>10</v>
      </c>
      <c r="H94" s="220"/>
      <c r="I94" s="220"/>
      <c r="J94" s="221">
        <f aca="true" t="shared" si="1" ref="J94:J95">IF(G94&lt;&gt;"",H94*G94,H94)</f>
        <v>0</v>
      </c>
      <c r="K94" s="221"/>
      <c r="L94" s="217"/>
      <c r="M94" s="217"/>
      <c r="N94" s="217"/>
      <c r="O94" s="217"/>
      <c r="P94" s="217"/>
      <c r="Q94" s="217"/>
      <c r="R94" s="217"/>
      <c r="S94"/>
      <c r="T94"/>
      <c r="U94"/>
      <c r="V94"/>
      <c r="W94" s="90" t="s">
        <v>113</v>
      </c>
      <c r="X94" s="49"/>
      <c r="Y94" s="49"/>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75" customHeight="1">
      <c r="A95"/>
      <c r="B95" s="218" t="s">
        <v>223</v>
      </c>
      <c r="C95" s="218"/>
      <c r="D95" s="218"/>
      <c r="E95" s="218"/>
      <c r="F95" s="218"/>
      <c r="G95" s="219">
        <v>10.3</v>
      </c>
      <c r="H95" s="220"/>
      <c r="I95" s="220"/>
      <c r="J95" s="221">
        <f t="shared" si="1"/>
        <v>0</v>
      </c>
      <c r="K95" s="221"/>
      <c r="L95" s="217"/>
      <c r="M95" s="217"/>
      <c r="N95" s="217"/>
      <c r="O95" s="217"/>
      <c r="P95" s="217"/>
      <c r="Q95" s="217"/>
      <c r="R95" s="217"/>
      <c r="S95"/>
      <c r="T95"/>
      <c r="U95"/>
      <c r="V95"/>
      <c r="W95" s="90" t="s">
        <v>144</v>
      </c>
      <c r="X95" s="49"/>
      <c r="Y95" s="49"/>
      <c r="Z95"/>
      <c r="AA95"/>
      <c r="AB95" s="178"/>
      <c r="AC95" s="79"/>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5.75" customHeight="1">
      <c r="A96"/>
      <c r="B96" s="218" t="s">
        <v>224</v>
      </c>
      <c r="C96" s="218"/>
      <c r="D96" s="218"/>
      <c r="E96" s="218"/>
      <c r="F96" s="218"/>
      <c r="G96" s="222" t="s">
        <v>225</v>
      </c>
      <c r="H96" s="223"/>
      <c r="I96" s="223"/>
      <c r="J96" s="224">
        <f>IF(H96&lt;=0,0,ROUND(H96/H83,0))</f>
        <v>0</v>
      </c>
      <c r="K96" s="224"/>
      <c r="L96" s="127" t="s">
        <v>154</v>
      </c>
      <c r="M96" s="127"/>
      <c r="N96" s="127"/>
      <c r="O96" s="127"/>
      <c r="P96" s="128" t="s">
        <v>226</v>
      </c>
      <c r="Q96" s="128"/>
      <c r="R96" s="225"/>
      <c r="S96"/>
      <c r="T96"/>
      <c r="U96"/>
      <c r="V96"/>
      <c r="W96" s="90" t="s">
        <v>101</v>
      </c>
      <c r="X96" s="49"/>
      <c r="Y96" s="49"/>
      <c r="Z96"/>
      <c r="AA96"/>
      <c r="AB96" s="178"/>
      <c r="AC96" s="79"/>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75" customHeight="1">
      <c r="A97"/>
      <c r="B97" s="218" t="s">
        <v>227</v>
      </c>
      <c r="C97" s="218"/>
      <c r="D97" s="218"/>
      <c r="E97" s="218"/>
      <c r="F97" s="218"/>
      <c r="G97" s="219">
        <v>12.8</v>
      </c>
      <c r="H97" s="220"/>
      <c r="I97" s="220"/>
      <c r="J97" s="221">
        <f aca="true" t="shared" si="2" ref="J97:J99">IF(G97&lt;&gt;"",H97*G97,H97)</f>
        <v>0</v>
      </c>
      <c r="K97" s="221"/>
      <c r="L97" s="226">
        <f>'data price+co2+consumption'!V70</f>
        <v>0</v>
      </c>
      <c r="M97" s="226"/>
      <c r="N97" s="226"/>
      <c r="O97" s="226"/>
      <c r="P97" s="130">
        <f>IF(J$100&gt;0,IF(Z$10&gt;0,CONCATENATE("&lt; ",VLOOKUP("A",'data price+co2+consumption'!Q$70:U$85,5,0)),""),"")</f>
        <v>0</v>
      </c>
      <c r="Q97" s="130"/>
      <c r="R97" s="131">
        <f>IF(J$100&gt;0,IF(Z$10&gt;0,IF(VLOOKUP("A",'data price+co2+consumption'!Q$70:R$85,2,0)=1,"x",""),""),"")</f>
        <v>0</v>
      </c>
      <c r="S97" s="135"/>
      <c r="T97"/>
      <c r="U97"/>
      <c r="V97"/>
      <c r="W97" s="49"/>
      <c r="X97" s="49"/>
      <c r="Y97" s="49"/>
      <c r="Z97"/>
      <c r="AA97"/>
      <c r="AB97" s="178"/>
      <c r="AC97" s="79"/>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5.75" customHeight="1">
      <c r="A98"/>
      <c r="B98" s="227" t="s">
        <v>228</v>
      </c>
      <c r="C98" s="227"/>
      <c r="D98" s="227"/>
      <c r="E98" s="227"/>
      <c r="F98" s="227"/>
      <c r="G98" s="219">
        <v>1800</v>
      </c>
      <c r="H98" s="220"/>
      <c r="I98" s="220"/>
      <c r="J98" s="221">
        <f t="shared" si="2"/>
        <v>0</v>
      </c>
      <c r="K98" s="221"/>
      <c r="L98" s="226">
        <f>'data price+co2+consumption'!V71</f>
        <v>0</v>
      </c>
      <c r="M98" s="226"/>
      <c r="N98" s="226"/>
      <c r="O98" s="226"/>
      <c r="P98" s="130">
        <f>IF(J$100&gt;0,IF(Z$10&gt;0,CONCATENATE(VLOOKUP("B",'data price+co2+consumption'!Q$70:U$85,4,0)," - ",VLOOKUP("B",'data price+co2+consumption'!Q$70:U$85,5,0)),""),"")</f>
        <v>0</v>
      </c>
      <c r="Q98" s="130"/>
      <c r="R98" s="131">
        <f>IF(J$100&gt;0,IF(Z$10&gt;0,IF(VLOOKUP("B",'data price+co2+consumption'!Q$70:R$85,2,0)=1,"x",""),""),"")</f>
        <v>0</v>
      </c>
      <c r="S98"/>
      <c r="T98" s="116"/>
      <c r="U98"/>
      <c r="V98"/>
      <c r="W98" s="49"/>
      <c r="X98" s="49"/>
      <c r="Y98" s="49"/>
      <c r="Z98"/>
      <c r="AA98"/>
      <c r="AB98" s="178"/>
      <c r="AC98" s="79"/>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75" customHeight="1">
      <c r="A99"/>
      <c r="B99" s="228" t="s">
        <v>229</v>
      </c>
      <c r="C99" s="228"/>
      <c r="D99" s="228"/>
      <c r="E99" s="228"/>
      <c r="F99" s="228"/>
      <c r="G99" s="219">
        <v>8</v>
      </c>
      <c r="H99" s="220"/>
      <c r="I99" s="220"/>
      <c r="J99" s="221">
        <f t="shared" si="2"/>
        <v>0</v>
      </c>
      <c r="K99" s="221"/>
      <c r="L99" s="226">
        <f>'data price+co2+consumption'!V72</f>
        <v>0</v>
      </c>
      <c r="M99" s="226"/>
      <c r="N99" s="226"/>
      <c r="O99" s="226"/>
      <c r="P99" s="130">
        <f>IF(J$100&gt;0,IF(Z$10&gt;0,CONCATENATE(VLOOKUP("C",'data price+co2+consumption'!Q$70:U$85,4,0)," - ",VLOOKUP("C",'data price+co2+consumption'!Q$70:U$85,5,0)),""),"")</f>
        <v>0</v>
      </c>
      <c r="Q99" s="130"/>
      <c r="R99" s="131">
        <f>IF(J$100&gt;0,IF(Z$10&gt;0,IF(VLOOKUP("C",'data price+co2+consumption'!Q$70:R$85,2,0)=1,"x",""),""),"")</f>
        <v>0</v>
      </c>
      <c r="S99"/>
      <c r="T99" s="116"/>
      <c r="U99"/>
      <c r="V99"/>
      <c r="W99" s="90" t="s">
        <v>156</v>
      </c>
      <c r="X99" s="49"/>
      <c r="Y99" s="49"/>
      <c r="Z99"/>
      <c r="AA99"/>
      <c r="AB99" s="178"/>
      <c r="AC99" s="7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75" customHeight="1">
      <c r="A100"/>
      <c r="B100" s="229" t="s">
        <v>230</v>
      </c>
      <c r="C100" s="229"/>
      <c r="D100" s="229"/>
      <c r="E100" s="229"/>
      <c r="F100" s="229"/>
      <c r="G100" s="229"/>
      <c r="H100" s="229"/>
      <c r="I100" s="229"/>
      <c r="J100" s="230">
        <f>IF('data price+co2+consumption'!B86&gt;0,'data price+co2+consumption'!B86,0)</f>
        <v>0</v>
      </c>
      <c r="K100" s="230"/>
      <c r="L100" s="226">
        <f>'data price+co2+consumption'!V73</f>
        <v>0</v>
      </c>
      <c r="M100" s="226"/>
      <c r="N100" s="226"/>
      <c r="O100" s="226"/>
      <c r="P100" s="130">
        <f>IF(J$100&gt;0,IF(Z$10&gt;0,CONCATENATE("&gt; ",VLOOKUP("D",'data price+co2+consumption'!Q$70:U$85,4,0)),""),"")</f>
        <v>0</v>
      </c>
      <c r="Q100" s="130"/>
      <c r="R100" s="131">
        <f>IF(J$100&gt;0,IF(Z$10&gt;0,IF(VLOOKUP("D",'data price+co2+consumption'!Q$70:R$85,2,0)=1,"x",""),""),"")</f>
        <v>0</v>
      </c>
      <c r="S100"/>
      <c r="T100" s="116"/>
      <c r="U100"/>
      <c r="V100"/>
      <c r="W100" s="49"/>
      <c r="X100" s="49"/>
      <c r="Y100" s="49"/>
      <c r="Z100"/>
      <c r="AA100"/>
      <c r="AB100" s="178"/>
      <c r="AC100" s="79"/>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75" customHeight="1">
      <c r="A101"/>
      <c r="B101" s="231" t="s">
        <v>231</v>
      </c>
      <c r="C101" s="231"/>
      <c r="D101" s="231"/>
      <c r="E101" s="231"/>
      <c r="F101" s="231"/>
      <c r="G101" s="231"/>
      <c r="H101" s="231"/>
      <c r="I101" s="231"/>
      <c r="J101" s="232">
        <f>IF('data price+co2+consumption'!B86&gt;0,'data price+co2+consumption'!B86*H83,0)</f>
        <v>0</v>
      </c>
      <c r="K101" s="232"/>
      <c r="L101" s="225"/>
      <c r="M101" s="225"/>
      <c r="N101" s="225"/>
      <c r="O101" s="225"/>
      <c r="P101" s="225"/>
      <c r="Q101" s="225"/>
      <c r="R101" s="225"/>
      <c r="S101"/>
      <c r="T101" s="233"/>
      <c r="U101"/>
      <c r="V101"/>
      <c r="W101" s="49"/>
      <c r="X101" s="49"/>
      <c r="Y101" s="49"/>
      <c r="Z101"/>
      <c r="AA101"/>
      <c r="AB101" s="178"/>
      <c r="AC101" s="1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1:50" s="11" customFormat="1" ht="10.5" customHeight="1">
      <c r="K102" s="234"/>
      <c r="T102" s="94"/>
      <c r="W102" s="94"/>
      <c r="X102" s="94"/>
      <c r="Y102" s="94"/>
      <c r="AB102" s="178"/>
      <c r="AX102" s="85"/>
    </row>
    <row r="103" spans="2:50" s="11" customFormat="1" ht="15" customHeight="1">
      <c r="B103" s="111" t="s">
        <v>232</v>
      </c>
      <c r="K103"/>
      <c r="Q103" s="44"/>
      <c r="T103" s="94"/>
      <c r="W103" s="94"/>
      <c r="X103" s="94"/>
      <c r="Y103" s="94"/>
      <c r="AB103" s="178"/>
      <c r="AX103" s="85"/>
    </row>
    <row r="104" spans="2:50" s="11" customFormat="1" ht="6" customHeight="1">
      <c r="B104"/>
      <c r="K104"/>
      <c r="Q104"/>
      <c r="T104" s="94"/>
      <c r="W104" s="49"/>
      <c r="X104" s="94"/>
      <c r="Y104" s="94"/>
      <c r="AB104" s="178"/>
      <c r="AX104" s="85"/>
    </row>
    <row r="105" spans="1:50" ht="14.25" customHeight="1">
      <c r="A105" s="11"/>
      <c r="B105"/>
      <c r="C105" s="74"/>
      <c r="D105" s="74"/>
      <c r="E105" s="74"/>
      <c r="F105" s="87" t="s">
        <v>233</v>
      </c>
      <c r="G105" s="78"/>
      <c r="H105" s="78"/>
      <c r="I105" s="78"/>
      <c r="J105" s="78"/>
      <c r="K105" s="78"/>
      <c r="L105" s="78"/>
      <c r="M105" s="78"/>
      <c r="N105" s="11"/>
      <c r="O105" s="11"/>
      <c r="P105" s="11"/>
      <c r="Q105"/>
      <c r="R105" s="11"/>
      <c r="S105" s="11"/>
      <c r="T105" s="233"/>
      <c r="U105" s="11"/>
      <c r="V105" s="11"/>
      <c r="W105" s="90" t="s">
        <v>197</v>
      </c>
      <c r="Y105" s="94">
        <v>1</v>
      </c>
      <c r="Z105" s="44" t="s">
        <v>234</v>
      </c>
      <c r="AB105" s="178"/>
      <c r="AX105" s="85"/>
    </row>
    <row r="106" spans="1:50" ht="15" customHeight="1">
      <c r="A106" s="11"/>
      <c r="B106"/>
      <c r="C106" s="74"/>
      <c r="D106" s="74"/>
      <c r="E106" s="74"/>
      <c r="F106" s="87" t="s">
        <v>235</v>
      </c>
      <c r="G106" s="78"/>
      <c r="H106" s="78"/>
      <c r="I106" s="78"/>
      <c r="J106" s="78"/>
      <c r="K106" s="78"/>
      <c r="L106" s="78"/>
      <c r="M106" s="78"/>
      <c r="N106" s="11"/>
      <c r="O106" s="11"/>
      <c r="P106" s="11"/>
      <c r="Q106"/>
      <c r="R106" s="11"/>
      <c r="S106" s="11"/>
      <c r="T106" s="233"/>
      <c r="U106" s="11"/>
      <c r="V106" s="11"/>
      <c r="W106" s="90" t="s">
        <v>199</v>
      </c>
      <c r="Y106" s="94">
        <v>2</v>
      </c>
      <c r="Z106" s="44" t="s">
        <v>236</v>
      </c>
      <c r="AB106" s="178"/>
      <c r="AX106" s="85"/>
    </row>
    <row r="107" spans="1:50" ht="14.25" customHeight="1">
      <c r="A107" s="11"/>
      <c r="B107"/>
      <c r="C107"/>
      <c r="D107"/>
      <c r="E107"/>
      <c r="F107"/>
      <c r="G107" s="233"/>
      <c r="H107"/>
      <c r="I107"/>
      <c r="J107"/>
      <c r="K107"/>
      <c r="L107"/>
      <c r="M107"/>
      <c r="N107" s="11"/>
      <c r="O107" s="11"/>
      <c r="P107" s="11"/>
      <c r="Q107"/>
      <c r="R107" s="11"/>
      <c r="S107" s="11"/>
      <c r="T107" s="233"/>
      <c r="U107" s="11"/>
      <c r="V107" s="11"/>
      <c r="W107" s="90" t="s">
        <v>237</v>
      </c>
      <c r="Y107" s="94">
        <v>3</v>
      </c>
      <c r="Z107" s="44" t="s">
        <v>238</v>
      </c>
      <c r="AB107" s="178"/>
      <c r="AX107" s="85"/>
    </row>
    <row r="108" spans="1:50" ht="11.25" customHeight="1">
      <c r="A108" s="11"/>
      <c r="B108" s="235" t="s">
        <v>239</v>
      </c>
      <c r="C108"/>
      <c r="D108"/>
      <c r="E108"/>
      <c r="F108"/>
      <c r="G108" s="233"/>
      <c r="H108"/>
      <c r="I108"/>
      <c r="J108"/>
      <c r="K108"/>
      <c r="L108"/>
      <c r="M108"/>
      <c r="N108" s="11"/>
      <c r="O108" s="11"/>
      <c r="P108" s="11"/>
      <c r="Q108"/>
      <c r="R108" s="11"/>
      <c r="S108" s="11"/>
      <c r="T108"/>
      <c r="U108" s="11"/>
      <c r="V108" s="11"/>
      <c r="W108" s="44" t="s">
        <v>240</v>
      </c>
      <c r="Y108" s="94">
        <v>4</v>
      </c>
      <c r="Z108" s="44" t="s">
        <v>241</v>
      </c>
      <c r="AB108" s="178"/>
      <c r="AX108" s="85"/>
    </row>
    <row r="109" spans="1:50" ht="14.25" customHeight="1">
      <c r="A109" s="11"/>
      <c r="B109"/>
      <c r="C109"/>
      <c r="D109"/>
      <c r="E109"/>
      <c r="F109" s="73" t="s">
        <v>242</v>
      </c>
      <c r="G109" s="78"/>
      <c r="H109" s="78"/>
      <c r="I109" s="78"/>
      <c r="J109" s="78"/>
      <c r="K109" s="78"/>
      <c r="L109" s="78"/>
      <c r="M109" s="78"/>
      <c r="N109"/>
      <c r="O109"/>
      <c r="P109"/>
      <c r="Q109"/>
      <c r="R109"/>
      <c r="S109" s="11"/>
      <c r="T109"/>
      <c r="U109" s="11"/>
      <c r="V109" s="11"/>
      <c r="W109" s="90" t="s">
        <v>243</v>
      </c>
      <c r="Y109" s="94">
        <v>5</v>
      </c>
      <c r="Z109" s="44" t="s">
        <v>244</v>
      </c>
      <c r="AB109" s="178"/>
      <c r="AX109" s="85"/>
    </row>
    <row r="110" spans="1:50" ht="17.25" customHeight="1">
      <c r="A110" s="11"/>
      <c r="B110" s="236" t="s">
        <v>245</v>
      </c>
      <c r="C110"/>
      <c r="D110"/>
      <c r="E110"/>
      <c r="F110"/>
      <c r="G110"/>
      <c r="H110"/>
      <c r="I110"/>
      <c r="J110"/>
      <c r="K110"/>
      <c r="L110"/>
      <c r="M110"/>
      <c r="N110"/>
      <c r="O110"/>
      <c r="P110"/>
      <c r="Q110"/>
      <c r="R110"/>
      <c r="S110" s="11"/>
      <c r="T110" s="94"/>
      <c r="U110" s="11"/>
      <c r="V110" s="11"/>
      <c r="W110" s="44" t="s">
        <v>246</v>
      </c>
      <c r="Y110" s="94">
        <v>6</v>
      </c>
      <c r="Z110" s="44" t="s">
        <v>71</v>
      </c>
      <c r="AB110" s="178"/>
      <c r="AX110" s="85"/>
    </row>
    <row r="111" spans="1:50" ht="17.25" customHeight="1">
      <c r="A111" s="11"/>
      <c r="B111" s="237" t="s">
        <v>247</v>
      </c>
      <c r="C111" s="237"/>
      <c r="D111" s="237"/>
      <c r="E111" s="237"/>
      <c r="F111" s="237"/>
      <c r="G111" s="237"/>
      <c r="H111" s="237"/>
      <c r="I111" s="237"/>
      <c r="J111" s="237"/>
      <c r="K111" s="237"/>
      <c r="L111" s="103"/>
      <c r="M111" s="103"/>
      <c r="N111"/>
      <c r="O111"/>
      <c r="P111"/>
      <c r="Q111"/>
      <c r="R111"/>
      <c r="S111" s="11"/>
      <c r="T111" s="238"/>
      <c r="U111" s="11"/>
      <c r="V111" s="11"/>
      <c r="W111" s="44" t="s">
        <v>248</v>
      </c>
      <c r="Y111" s="94">
        <v>7</v>
      </c>
      <c r="Z111" s="44" t="s">
        <v>249</v>
      </c>
      <c r="AB111" s="178"/>
      <c r="AX111" s="85"/>
    </row>
    <row r="112" spans="1:50" ht="17.25" customHeight="1">
      <c r="A112" s="11"/>
      <c r="B112" s="237" t="s">
        <v>250</v>
      </c>
      <c r="C112" s="237"/>
      <c r="D112" s="237"/>
      <c r="E112" s="237"/>
      <c r="F112" s="237"/>
      <c r="G112" s="237"/>
      <c r="H112" s="237"/>
      <c r="I112" s="237"/>
      <c r="J112" s="237"/>
      <c r="K112" s="237"/>
      <c r="L112" s="103"/>
      <c r="M112" s="103"/>
      <c r="S112" s="11"/>
      <c r="T112" s="94"/>
      <c r="W112" s="74" t="s">
        <v>213</v>
      </c>
      <c r="Y112" s="94">
        <v>8</v>
      </c>
      <c r="AB112" s="178"/>
      <c r="AX112" s="85"/>
    </row>
    <row r="113" spans="1:50" ht="14.25" customHeight="1">
      <c r="A113" s="11"/>
      <c r="S113" s="11"/>
      <c r="T113" s="94"/>
      <c r="W113" s="44" t="s">
        <v>251</v>
      </c>
      <c r="Y113" s="94">
        <v>9</v>
      </c>
      <c r="AB113" s="178"/>
      <c r="AX113" s="85"/>
    </row>
    <row r="114" spans="1:50" ht="12" customHeight="1">
      <c r="A114" s="11"/>
      <c r="S114" s="11"/>
      <c r="T114" s="94"/>
      <c r="W114" s="74" t="s">
        <v>211</v>
      </c>
      <c r="Y114" s="1">
        <v>10</v>
      </c>
      <c r="AB114" s="178"/>
      <c r="AX114" s="85"/>
    </row>
    <row r="115" spans="1:50" ht="15.75" customHeight="1">
      <c r="A115" s="11"/>
      <c r="S115" s="11"/>
      <c r="T115" s="94"/>
      <c r="W115" s="90" t="s">
        <v>101</v>
      </c>
      <c r="AB115" s="178"/>
      <c r="AX115" s="85"/>
    </row>
    <row r="116" spans="2:18" ht="17.25" customHeight="1">
      <c r="B116" s="239" t="s">
        <v>252</v>
      </c>
      <c r="C116" s="94"/>
      <c r="D116" s="94"/>
      <c r="E116" s="94"/>
      <c r="F116" s="94"/>
      <c r="G116" s="94"/>
      <c r="H116" s="94"/>
      <c r="I116" s="94"/>
      <c r="J116" s="94"/>
      <c r="K116" s="94"/>
      <c r="L116" s="240"/>
      <c r="M116" s="94"/>
      <c r="N116" s="94"/>
      <c r="O116" s="94"/>
      <c r="P116" s="94"/>
      <c r="Q116" s="94"/>
      <c r="R116" s="94"/>
    </row>
    <row r="117" spans="2:18" ht="17.25" customHeight="1">
      <c r="B117" s="33"/>
      <c r="C117" s="33"/>
      <c r="D117" s="33"/>
      <c r="E117" s="33"/>
      <c r="F117" s="33"/>
      <c r="G117" s="33"/>
      <c r="H117" s="33"/>
      <c r="I117" s="33"/>
      <c r="J117" s="33"/>
      <c r="K117" s="33"/>
      <c r="L117" s="33"/>
      <c r="M117" s="33"/>
      <c r="N117" s="33"/>
      <c r="O117" s="33"/>
      <c r="P117" s="33"/>
      <c r="Q117" s="33"/>
      <c r="R117" s="33"/>
    </row>
    <row r="118" spans="2:18" ht="17.25" customHeight="1">
      <c r="B118" s="33"/>
      <c r="C118" s="33"/>
      <c r="D118" s="33"/>
      <c r="E118" s="33"/>
      <c r="F118" s="33"/>
      <c r="G118" s="33"/>
      <c r="H118" s="33"/>
      <c r="I118" s="33"/>
      <c r="J118" s="33"/>
      <c r="K118" s="33"/>
      <c r="L118" s="33"/>
      <c r="M118" s="33"/>
      <c r="N118" s="33"/>
      <c r="O118" s="33"/>
      <c r="P118" s="33"/>
      <c r="Q118" s="33"/>
      <c r="R118" s="33"/>
    </row>
    <row r="119" ht="17.25" customHeight="1"/>
    <row r="120" ht="17.25" customHeight="1"/>
    <row r="121" ht="17.25" customHeight="1"/>
    <row r="122" ht="17.25" customHeight="1"/>
    <row r="123" ht="17.25" customHeight="1"/>
  </sheetData>
  <sheetProtection selectLockedCells="1" selectUnlockedCells="1"/>
  <mergeCells count="165">
    <mergeCell ref="Q3:R3"/>
    <mergeCell ref="Q4:R4"/>
    <mergeCell ref="G10:J10"/>
    <mergeCell ref="O10:R10"/>
    <mergeCell ref="G11:J11"/>
    <mergeCell ref="G12:J12"/>
    <mergeCell ref="G14:J14"/>
    <mergeCell ref="G17:J17"/>
    <mergeCell ref="G20:I20"/>
    <mergeCell ref="P20:R20"/>
    <mergeCell ref="G21:I21"/>
    <mergeCell ref="P21:R21"/>
    <mergeCell ref="G22:I22"/>
    <mergeCell ref="P22:R22"/>
    <mergeCell ref="A23:F23"/>
    <mergeCell ref="G23:I23"/>
    <mergeCell ref="J23:O23"/>
    <mergeCell ref="P23:R23"/>
    <mergeCell ref="J24:O24"/>
    <mergeCell ref="P24:R24"/>
    <mergeCell ref="J25:O25"/>
    <mergeCell ref="P25:R25"/>
    <mergeCell ref="J26:O26"/>
    <mergeCell ref="P26:R26"/>
    <mergeCell ref="P27:Q27"/>
    <mergeCell ref="P28:Q28"/>
    <mergeCell ref="P29:R29"/>
    <mergeCell ref="P30:R30"/>
    <mergeCell ref="P31:R31"/>
    <mergeCell ref="F34:H34"/>
    <mergeCell ref="G35:H35"/>
    <mergeCell ref="A36:F36"/>
    <mergeCell ref="G36:H36"/>
    <mergeCell ref="Q36:R36"/>
    <mergeCell ref="Q37:R37"/>
    <mergeCell ref="F38:G38"/>
    <mergeCell ref="F40:G40"/>
    <mergeCell ref="P40:R40"/>
    <mergeCell ref="B42:I42"/>
    <mergeCell ref="J42:K42"/>
    <mergeCell ref="L42:P42"/>
    <mergeCell ref="Q42:R42"/>
    <mergeCell ref="B43:I43"/>
    <mergeCell ref="J43:K43"/>
    <mergeCell ref="L43:R43"/>
    <mergeCell ref="B44:I44"/>
    <mergeCell ref="J44:K44"/>
    <mergeCell ref="L44:O44"/>
    <mergeCell ref="P44:Q44"/>
    <mergeCell ref="B45:I45"/>
    <mergeCell ref="J45:K45"/>
    <mergeCell ref="L45:O45"/>
    <mergeCell ref="P45:Q45"/>
    <mergeCell ref="B46:H46"/>
    <mergeCell ref="J46:K48"/>
    <mergeCell ref="L46:O46"/>
    <mergeCell ref="P46:Q46"/>
    <mergeCell ref="B47:H47"/>
    <mergeCell ref="L47:O47"/>
    <mergeCell ref="P47:Q47"/>
    <mergeCell ref="B48:H48"/>
    <mergeCell ref="L48:O48"/>
    <mergeCell ref="P48:Q48"/>
    <mergeCell ref="F50:I50"/>
    <mergeCell ref="O50:R50"/>
    <mergeCell ref="F51:I51"/>
    <mergeCell ref="O51:R51"/>
    <mergeCell ref="O52:R52"/>
    <mergeCell ref="O53:P53"/>
    <mergeCell ref="Q53:R53"/>
    <mergeCell ref="F58:I58"/>
    <mergeCell ref="F60:H60"/>
    <mergeCell ref="F62:G62"/>
    <mergeCell ref="J64:K64"/>
    <mergeCell ref="L64:P64"/>
    <mergeCell ref="Q64:R64"/>
    <mergeCell ref="B65:K65"/>
    <mergeCell ref="L65:O65"/>
    <mergeCell ref="P65:Q65"/>
    <mergeCell ref="B66:I66"/>
    <mergeCell ref="J66:K66"/>
    <mergeCell ref="L66:O66"/>
    <mergeCell ref="P66:Q66"/>
    <mergeCell ref="B67:I67"/>
    <mergeCell ref="J67:K67"/>
    <mergeCell ref="L67:O67"/>
    <mergeCell ref="P67:Q67"/>
    <mergeCell ref="B68:I68"/>
    <mergeCell ref="J68:K68"/>
    <mergeCell ref="L68:O68"/>
    <mergeCell ref="P68:Q68"/>
    <mergeCell ref="B69:I69"/>
    <mergeCell ref="J69:K69"/>
    <mergeCell ref="L69:O69"/>
    <mergeCell ref="P69:Q69"/>
    <mergeCell ref="B70:I70"/>
    <mergeCell ref="J70:K70"/>
    <mergeCell ref="L70:O70"/>
    <mergeCell ref="P70:Q70"/>
    <mergeCell ref="F72:I72"/>
    <mergeCell ref="O72:R72"/>
    <mergeCell ref="F73:I73"/>
    <mergeCell ref="O73:R73"/>
    <mergeCell ref="O74:R74"/>
    <mergeCell ref="O75:P75"/>
    <mergeCell ref="Q75:R75"/>
    <mergeCell ref="H80:K80"/>
    <mergeCell ref="H82:I82"/>
    <mergeCell ref="H83:I83"/>
    <mergeCell ref="P83:R83"/>
    <mergeCell ref="H85:M85"/>
    <mergeCell ref="H86:M86"/>
    <mergeCell ref="P86:R86"/>
    <mergeCell ref="H87:I87"/>
    <mergeCell ref="H88:J88"/>
    <mergeCell ref="H89:I89"/>
    <mergeCell ref="B91:R91"/>
    <mergeCell ref="H92:I92"/>
    <mergeCell ref="J92:K92"/>
    <mergeCell ref="Q92:R92"/>
    <mergeCell ref="B93:F93"/>
    <mergeCell ref="G93:I93"/>
    <mergeCell ref="J93:K93"/>
    <mergeCell ref="L93:R95"/>
    <mergeCell ref="B94:F94"/>
    <mergeCell ref="H94:I94"/>
    <mergeCell ref="J94:K94"/>
    <mergeCell ref="B95:F95"/>
    <mergeCell ref="H95:I95"/>
    <mergeCell ref="J95:K95"/>
    <mergeCell ref="B96:F96"/>
    <mergeCell ref="H96:I96"/>
    <mergeCell ref="J96:K96"/>
    <mergeCell ref="L96:O96"/>
    <mergeCell ref="P96:Q96"/>
    <mergeCell ref="B97:F97"/>
    <mergeCell ref="H97:I97"/>
    <mergeCell ref="J97:K97"/>
    <mergeCell ref="L97:O97"/>
    <mergeCell ref="P97:Q97"/>
    <mergeCell ref="B98:F98"/>
    <mergeCell ref="H98:I98"/>
    <mergeCell ref="J98:K98"/>
    <mergeCell ref="L98:O98"/>
    <mergeCell ref="P98:Q98"/>
    <mergeCell ref="B99:F99"/>
    <mergeCell ref="H99:I99"/>
    <mergeCell ref="J99:K99"/>
    <mergeCell ref="L99:O99"/>
    <mergeCell ref="P99:Q99"/>
    <mergeCell ref="B100:I100"/>
    <mergeCell ref="J100:K100"/>
    <mergeCell ref="L100:O100"/>
    <mergeCell ref="P100:Q100"/>
    <mergeCell ref="B101:I101"/>
    <mergeCell ref="J101:K101"/>
    <mergeCell ref="L101:R101"/>
    <mergeCell ref="G105:M105"/>
    <mergeCell ref="G106:M106"/>
    <mergeCell ref="G109:M109"/>
    <mergeCell ref="B111:K111"/>
    <mergeCell ref="L111:M111"/>
    <mergeCell ref="B112:K112"/>
    <mergeCell ref="L112:M112"/>
    <mergeCell ref="B117:R118"/>
  </mergeCells>
  <conditionalFormatting sqref="L66:O71 L76:N76 L45:O48 L97:O100">
    <cfRule type="expression" priority="1" dxfId="1" stopIfTrue="1">
      <formula>$R24="x"</formula>
    </cfRule>
  </conditionalFormatting>
  <conditionalFormatting sqref="P66:Q71 P45:Q48 P97:P100">
    <cfRule type="expression" priority="2" dxfId="2" stopIfTrue="1">
      <formula>$R24="x"</formula>
    </cfRule>
  </conditionalFormatting>
  <conditionalFormatting sqref="R97:R100 R45:R48 R66:R71">
    <cfRule type="cellIs" priority="3" dxfId="3" operator="equal" stopIfTrue="1">
      <formula>"x"</formula>
    </cfRule>
  </conditionalFormatting>
  <conditionalFormatting sqref="L11:L23 F15:F16 F19">
    <cfRule type="cellIs" priority="4" dxfId="0" operator="equal" stopIfTrue="1">
      <formula>"x"</formula>
    </cfRule>
  </conditionalFormatting>
  <dataValidations count="56">
    <dataValidation type="custom" allowBlank="1" showErrorMessage="1" errorTitle="Wohnung oder Haus ?" error="entweder Wohnung oder Haus angeben - nicht beides !&#10;" sqref="F15:F16 F19 F21:F22">
      <formula1>'household+building'!L15=""</formula1>
      <formula2>0</formula2>
    </dataValidation>
    <dataValidation errorStyle="warning" type="whole" allowBlank="1" showErrorMessage="1" errorTitle="Hinweis" error="Zu hoch! Prüfen Sie Daten" sqref="Q59:R59">
      <formula1>'household+building'!J68/"#ref!"</formula1>
      <formula2>300</formula2>
    </dataValidation>
    <dataValidation errorStyle="warning" type="whole" allowBlank="1" showErrorMessage="1" errorTitle="Hinweis" error="Zu hoch! Prüfen Sie Daten" sqref="Q56:R58">
      <formula1>'household+building'!J67/"#ref!"</formula1>
      <formula2>300</formula2>
    </dataValidation>
    <dataValidation errorStyle="warning" type="whole" allowBlank="1" showErrorMessage="1" errorTitle="Hinweis" error="Zu hoch! Prüfen Sie Daten" sqref="Q64:R64">
      <formula1>'household+building'!J68/'household+building'!G32</formula1>
      <formula2>300</formula2>
    </dataValidation>
    <dataValidation errorStyle="warning" type="whole" allowBlank="1" showErrorMessage="1" errorTitle="Hinweis" error="Zu hoch! Prüfen Sie Daten" sqref="Q60:R60">
      <formula1>'household+building'!J69/'household+building'!G31</formula1>
      <formula2>300</formula2>
    </dataValidation>
    <dataValidation type="custom" allowBlank="1" showErrorMessage="1" errorTitle="Wohnung oder Haus" error="entweder Wohnung oder Haus angeben - nicht beides !" sqref="L10:L23">
      <formula1>'household+building'!H10=""</formula1>
      <formula2>0</formula2>
    </dataValidation>
    <dataValidation errorStyle="warning" type="whole" allowBlank="1" showErrorMessage="1" errorTitle="Hinweis" error="Zu hoch! Prüfen Sie Daten" sqref="R88">
      <formula1>'household+building'!K98/"#ref!"</formula1>
      <formula2>300</formula2>
    </dataValidation>
    <dataValidation errorStyle="warning" type="whole" allowBlank="1" showErrorMessage="1" errorTitle="Hinweis" error="Zu hoch! Prüfen Sie Daten" sqref="K88">
      <formula1>'household+building'!J98/"#ref!"</formula1>
      <formula2>300</formula2>
    </dataValidation>
    <dataValidation errorStyle="warning" type="whole" allowBlank="1" showErrorMessage="1" errorTitle="Hinweis" error="Zu hoch! Prüfen Sie Daten" sqref="Q91:R91">
      <formula1>'household+building'!J98/"#ref!"</formula1>
      <formula2>300</formula2>
    </dataValidation>
    <dataValidation errorStyle="warning" type="whole" allowBlank="1" showErrorMessage="1" errorTitle="Hinweis" error="Zu hoch! Prüfen Sie Daten" sqref="Q92">
      <formula1>"#ref!"/'household+building'!G24</formula1>
      <formula2>300</formula2>
    </dataValidation>
    <dataValidation type="list" allowBlank="1" showErrorMessage="1" sqref="H85:M85">
      <formula1>$W$82:$W$91</formula1>
      <formula2>0</formula2>
    </dataValidation>
    <dataValidation type="list" allowBlank="1" showErrorMessage="1" sqref="P86:R86">
      <formula1>$Z$82:$Z$90</formula1>
      <formula2>0</formula2>
    </dataValidation>
    <dataValidation errorStyle="warning" type="whole" allowBlank="1" showErrorMessage="1" errorTitle="Hinweis" error="Zu hoch! Prüfen Sie Daten" sqref="Q87">
      <formula1>"#ref!"/"#ref!"</formula1>
      <formula2>300</formula2>
    </dataValidation>
    <dataValidation type="list" allowBlank="1" showErrorMessage="1" sqref="G105:M106">
      <formula1>$W$104:$W$115</formula1>
      <formula2>0</formula2>
    </dataValidation>
    <dataValidation type="list" allowBlank="1" showInputMessage="1" showErrorMessage="1" prompt="Answer &quot;yes&quot; if all or most of the water boiling consumption is included (for bathroom!)" sqref="H89:I89">
      <formula1>$W$92:$W$96</formula1>
      <formula2>0</formula2>
    </dataValidation>
    <dataValidation type="list" allowBlank="1" showInputMessage="1" showErrorMessage="1" prompt="e.g. meter at the radiator or at th pipe. If there is a heating system for the floor, electric heating system or stoves, the consumtion of the flat is always metered (people get their own bill). " sqref="I88:J88">
      <formula1>$W$35:$W$39</formula1>
      <formula2>0</formula2>
    </dataValidation>
    <dataValidation type="list" allowBlank="1" showInputMessage="1" showErrorMessage="1" prompt="If there is a 2nd heating system, use the price for the main heating system." sqref="H86:M86">
      <formula1>$Y$82:$Y$86</formula1>
      <formula2>0</formula2>
    </dataValidation>
    <dataValidation allowBlank="1" showInputMessage="1" showErrorMessage="1" prompt="Please insert here if there a general problems with the flat, technical problems advisers can not help etc." sqref="B117:R117">
      <formula1>0</formula1>
      <formula2>0</formula2>
    </dataValidation>
    <dataValidation type="decimal" allowBlank="1" showErrorMessage="1" error="Not possible, check the data!" sqref="J93:K93 K96">
      <formula1>100</formula1>
      <formula2>100000</formula2>
    </dataValidation>
    <dataValidation type="decimal" allowBlank="1" showErrorMessage="1" error="Not possible, check the data!" sqref="H94:I95 H97:I97 H99:I99">
      <formula1>10</formula1>
      <formula2>10000</formula2>
    </dataValidation>
    <dataValidation type="decimal" allowBlank="1" showErrorMessage="1" error="Not possible, check the data!" sqref="H98:I98">
      <formula1>0.5</formula1>
      <formula2>1000</formula2>
    </dataValidation>
    <dataValidation allowBlank="1" showInputMessage="1" showErrorMessage="1" prompt="Consumption without energy for water boiling, if the input data for heat energy includes energy for water boiling, there is an automatically reduction of 600 kWh per person.    " sqref="J100:K100">
      <formula1>0</formula1>
      <formula2>0</formula2>
    </dataValidation>
    <dataValidation type="list" allowBlank="1" showErrorMessage="1" sqref="G11:J11">
      <formula1>$Y$9:$Y$14</formula1>
      <formula2>0</formula2>
    </dataValidation>
    <dataValidation type="list" allowBlank="1" showInputMessage="1" showErrorMessage="1" promptTitle="Hinweis" prompt="Anzahl Personen die im Haushalt leben" sqref="I84">
      <formula1>$W$26:$W$28</formula1>
      <formula2>0</formula2>
    </dataValidation>
    <dataValidation allowBlank="1" showInputMessage="1" showErrorMessage="1" promptTitle="Attention" prompt="This field can be filled out about 3 month later to check the savings, if there is an access to the meter" sqref="O52:R52 O74:R74">
      <formula1>0</formula1>
      <formula2>0</formula2>
    </dataValidation>
    <dataValidation type="decimal" allowBlank="1" showInputMessage="1" showErrorMessage="1" prompt="If there is no price available from the bill, use the folling data (per kWh): electricity 0,2 €; oil 0,07 €; gas 0,07 €; district heating 0,10 €; wood 0,05 €; coal 0,04 €.&#10;" error="Not possible, check the data!" sqref="I83">
      <formula1>0.01</formula1>
      <formula2>0.5</formula2>
    </dataValidation>
    <dataValidation type="list" allowBlank="1" showErrorMessage="1" sqref="G20:I20">
      <formula1>$Z$25:$Z$30</formula1>
      <formula2>0</formula2>
    </dataValidation>
    <dataValidation type="decimal" allowBlank="1" showErrorMessage="1" sqref="F39 G41">
      <formula1>0.05</formula1>
      <formula2>0.29</formula2>
    </dataValidation>
    <dataValidation type="list" allowBlank="1" showErrorMessage="1" sqref="Q24:R26 P29:R29 P30:P31">
      <formula1>$W$25:$W$28</formula1>
      <formula2>0</formula2>
    </dataValidation>
    <dataValidation type="list" allowBlank="1" showInputMessage="1" showErrorMessage="1" prompt="If there are different water boiling systems in the flat, answer &quot;yes&quot; if there is electrical water boiling in the bathroom.  " sqref="I46">
      <formula1>$X$44:$X$45</formula1>
      <formula2>0</formula2>
    </dataValidation>
    <dataValidation type="decimal" allowBlank="1" showErrorMessage="1" error="Not possible, check the data!" sqref="K66">
      <formula1>10</formula1>
      <formula2>1000</formula2>
    </dataValidation>
    <dataValidation type="list" allowBlank="1" showErrorMessage="1" sqref="I48 G60:H60 H82:I82">
      <formula1>$X$43:$X$45</formula1>
      <formula2>0</formula2>
    </dataValidation>
    <dataValidation type="list" allowBlank="1" showErrorMessage="1" sqref="F58:I58 H80:K80">
      <formula1>$X$35:$X$39</formula1>
      <formula2>0</formula2>
    </dataValidation>
    <dataValidation type="list" allowBlank="1" showInputMessage="1" showErrorMessage="1" prompt="This information is important because flats in the basement or under the roof usually need more heat energy.  " sqref="G14:J14">
      <formula1>$Y$16:$Y$20</formula1>
      <formula2>0</formula2>
    </dataValidation>
    <dataValidation type="list" allowBlank="1" showErrorMessage="1" sqref="P40:R40">
      <formula1>$Z$35:$Z$39</formula1>
      <formula2>0</formula2>
    </dataValidation>
    <dataValidation type="list" allowBlank="1" showErrorMessage="1" sqref="H10:J10">
      <formula1>$W$9:$W$12</formula1>
      <formula2>0</formula2>
    </dataValidation>
    <dataValidation type="list" allowBlank="1" showErrorMessage="1" sqref="P10:R10">
      <formula1>$X$9:$X$12</formula1>
      <formula2>0</formula2>
    </dataValidation>
    <dataValidation type="list" allowBlank="1" showErrorMessage="1" sqref="Q4:R4">
      <formula1>$W$2:$W$5</formula1>
      <formula2>0</formula2>
    </dataValidation>
    <dataValidation type="list" allowBlank="1" showErrorMessage="1" sqref="H21:I21">
      <formula1>$Z$16:$Z$20</formula1>
      <formula2>0</formula2>
    </dataValidation>
    <dataValidation allowBlank="1" showInputMessage="1" showErrorMessage="1" prompt="Tenant normaly don`t have the electricity consumption for the heating pump on the electricity bill. Only if there is a heating system for the floor (has a heating pump as well)." sqref="B48:H48">
      <formula1>0</formula1>
      <formula2>0</formula2>
    </dataValidation>
    <dataValidation type="list" allowBlank="1" showInputMessage="1" showErrorMessage="1" prompt="This information is important because houses which are standing alone need more heat energy than houses wich are standing in a line at the corner or in the middle.  " sqref="G17:J17">
      <formula1>$W$16:$W$19</formula1>
      <formula2>0</formula2>
    </dataValidation>
    <dataValidation type="list" allowBlank="1" showErrorMessage="1" sqref="G22:I22">
      <formula1>$W$20:$W$24</formula1>
      <formula2>0</formula2>
    </dataValidation>
    <dataValidation type="list" allowBlank="1" showErrorMessage="1" sqref="P21:R21">
      <formula1>$Y$21:$Y$24</formula1>
      <formula2>0</formula2>
    </dataValidation>
    <dataValidation type="list" allowBlank="1" showErrorMessage="1" sqref="P22:R22">
      <formula1>$Z$21:$Z$24</formula1>
      <formula2>0</formula2>
    </dataValidation>
    <dataValidation type="list" allowBlank="1" showErrorMessage="1" sqref="H109:M109">
      <formula1>$Y$110:$Y$115</formula1>
      <formula2>0</formula2>
    </dataValidation>
    <dataValidation type="list" operator="equal" allowBlank="1" showErrorMessage="1" sqref="L111:L112">
      <formula1>'household+building'!$Y$105:$Y$114</formula1>
    </dataValidation>
    <dataValidation type="list" allowBlank="1" showErrorMessage="1" sqref="G109">
      <formula1>'household+building'!$Z$105:$Z$111</formula1>
      <formula2>0</formula2>
    </dataValidation>
    <dataValidation type="list" operator="equal" allowBlank="1" showErrorMessage="1" sqref="H87">
      <formula1>'household+building'!$W$93:$W$94</formula1>
    </dataValidation>
    <dataValidation type="list" operator="equal" allowBlank="1" showErrorMessage="1" sqref="G35:G36">
      <formula1>'household+building'!$W$26:$W$27</formula1>
    </dataValidation>
    <dataValidation type="list" allowBlank="1" showErrorMessage="1" sqref="G10">
      <formula1>'household+building'!$W$10:$W$13</formula1>
      <formula2>0</formula2>
    </dataValidation>
    <dataValidation type="list" allowBlank="1" showErrorMessage="1" sqref="O10">
      <formula1>'household+building'!$X$10:$X$14</formula1>
      <formula2>0</formula2>
    </dataValidation>
    <dataValidation type="list" allowBlank="1" showErrorMessage="1" sqref="G12">
      <formula1>'household+building'!$AB$10:$AB$15</formula1>
      <formula2>0</formula2>
    </dataValidation>
    <dataValidation type="list" allowBlank="1" showErrorMessage="1" sqref="G23">
      <formula1>'household+building'!$AB$21:$AB$22</formula1>
      <formula2>0</formula2>
    </dataValidation>
    <dataValidation type="list" allowBlank="1" showErrorMessage="1" sqref="P23:P26">
      <formula1>'household+building'!$AC$21:$AC$23</formula1>
      <formula2>0</formula2>
    </dataValidation>
    <dataValidation type="list" allowBlank="1" showErrorMessage="1" sqref="P20">
      <formula1>'household+building'!$AC$26:$AC$30</formula1>
      <formula2>0</formula2>
    </dataValidation>
    <dataValidation type="list" allowBlank="1" showErrorMessage="1" sqref="G21">
      <formula1>'household+building'!$Z$13:$Z$20</formula1>
      <formula2>0</formula2>
    </dataValidation>
  </dataValidations>
  <printOptions/>
  <pageMargins left="0.7875" right="0.7875" top="0.9840277777777777" bottom="0.9840277777777777" header="0.5118055555555555" footer="0.5118055555555555"/>
  <pageSetup fitToHeight="2" fitToWidth="1"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tabColor indexed="17"/>
  </sheetPr>
  <dimension ref="A1:I48"/>
  <sheetViews>
    <sheetView workbookViewId="0" topLeftCell="A1">
      <selection activeCell="J4" sqref="J4"/>
    </sheetView>
  </sheetViews>
  <sheetFormatPr defaultColWidth="9.140625" defaultRowHeight="12.75" zeroHeight="1"/>
  <cols>
    <col min="1" max="1" width="17.00390625" style="241" customWidth="1"/>
    <col min="2" max="2" width="22.00390625" style="0" customWidth="1"/>
    <col min="3" max="3" width="6.8515625" style="0" customWidth="1"/>
    <col min="4" max="4" width="7.57421875" style="242" customWidth="1"/>
    <col min="5" max="5" width="8.00390625" style="243" customWidth="1"/>
    <col min="6" max="6" width="8.00390625" style="242" customWidth="1"/>
    <col min="7" max="7" width="10.28125" style="0" customWidth="1"/>
    <col min="8" max="8" width="9.8515625" style="0" customWidth="1"/>
    <col min="9" max="9" width="28.00390625" style="0" customWidth="1"/>
    <col min="10" max="16384" width="11.421875" style="0" customWidth="1"/>
  </cols>
  <sheetData>
    <row r="1" spans="1:9" ht="34.5" customHeight="1">
      <c r="A1" s="244" t="s">
        <v>253</v>
      </c>
      <c r="B1" s="244"/>
      <c r="C1" s="244"/>
      <c r="D1" s="244"/>
      <c r="E1" s="244"/>
      <c r="F1" s="244"/>
      <c r="G1" s="244"/>
      <c r="H1" s="244"/>
      <c r="I1" s="244"/>
    </row>
    <row r="2" spans="1:9" ht="8.25" customHeight="1">
      <c r="A2" s="245"/>
      <c r="B2" s="245"/>
      <c r="C2" s="245"/>
      <c r="D2" s="245"/>
      <c r="E2" s="245"/>
      <c r="F2" s="245"/>
      <c r="G2" s="245"/>
      <c r="H2" s="245"/>
      <c r="I2" s="245"/>
    </row>
    <row r="3" spans="1:9" s="196" customFormat="1" ht="15.75" customHeight="1">
      <c r="A3" s="246"/>
      <c r="B3" s="246"/>
      <c r="C3" s="247">
        <f>'household+building'!F38</f>
        <v>0</v>
      </c>
      <c r="D3" s="248" t="s">
        <v>254</v>
      </c>
      <c r="E3" s="246"/>
      <c r="F3" s="249" t="s">
        <v>255</v>
      </c>
      <c r="G3" s="249"/>
      <c r="H3" s="250">
        <f>'household+building'!J42</f>
        <v>0</v>
      </c>
      <c r="I3" s="251" t="s">
        <v>147</v>
      </c>
    </row>
    <row r="4" spans="1:9" s="256" customFormat="1" ht="6.75" customHeight="1">
      <c r="A4" s="252"/>
      <c r="B4" s="252"/>
      <c r="C4" s="253"/>
      <c r="D4" s="254"/>
      <c r="E4" s="254"/>
      <c r="F4" s="254"/>
      <c r="G4" s="254"/>
      <c r="H4" s="254"/>
      <c r="I4" s="255"/>
    </row>
    <row r="5" spans="1:9" ht="46.5" customHeight="1">
      <c r="A5" s="257" t="s">
        <v>256</v>
      </c>
      <c r="B5" s="258" t="s">
        <v>257</v>
      </c>
      <c r="C5" s="259" t="s">
        <v>258</v>
      </c>
      <c r="D5" s="260" t="s">
        <v>259</v>
      </c>
      <c r="E5" s="261" t="s">
        <v>260</v>
      </c>
      <c r="F5" s="260" t="s">
        <v>261</v>
      </c>
      <c r="G5" s="262" t="s">
        <v>262</v>
      </c>
      <c r="H5" s="263" t="s">
        <v>263</v>
      </c>
      <c r="I5" s="262" t="s">
        <v>264</v>
      </c>
    </row>
    <row r="6" spans="1:9" ht="13.5" customHeight="1">
      <c r="A6" s="264"/>
      <c r="B6" s="264"/>
      <c r="C6" s="265"/>
      <c r="D6" s="266"/>
      <c r="E6" s="267"/>
      <c r="F6" s="268"/>
      <c r="G6" s="269">
        <f aca="true" t="shared" si="0" ref="G6:G24">C6*D6*365/1000+E6*F6*12</f>
        <v>0</v>
      </c>
      <c r="H6" s="270">
        <f>IF(ISTEXT(G6),"",G6*C3)</f>
        <v>0</v>
      </c>
      <c r="I6" s="271"/>
    </row>
    <row r="7" spans="1:9" ht="13.5" customHeight="1">
      <c r="A7" s="272"/>
      <c r="B7" s="272"/>
      <c r="C7" s="273"/>
      <c r="D7" s="274"/>
      <c r="E7" s="275"/>
      <c r="F7" s="276"/>
      <c r="G7" s="277">
        <f t="shared" si="0"/>
        <v>0</v>
      </c>
      <c r="H7" s="278">
        <f>IF(ISTEXT(G7),"",G7*C3)</f>
        <v>0</v>
      </c>
      <c r="I7" s="279"/>
    </row>
    <row r="8" spans="1:9" ht="13.5" customHeight="1">
      <c r="A8" s="272"/>
      <c r="B8" s="272"/>
      <c r="C8" s="273"/>
      <c r="D8" s="274"/>
      <c r="E8" s="275"/>
      <c r="F8" s="276"/>
      <c r="G8" s="277">
        <f t="shared" si="0"/>
        <v>0</v>
      </c>
      <c r="H8" s="278">
        <f>IF(ISTEXT(G8),"",G8*C3)</f>
        <v>0</v>
      </c>
      <c r="I8" s="279"/>
    </row>
    <row r="9" spans="1:9" ht="13.5" customHeight="1">
      <c r="A9" s="272"/>
      <c r="B9" s="272"/>
      <c r="C9" s="273"/>
      <c r="D9" s="274"/>
      <c r="E9" s="275"/>
      <c r="F9" s="276"/>
      <c r="G9" s="277">
        <f t="shared" si="0"/>
        <v>0</v>
      </c>
      <c r="H9" s="278">
        <f>IF(ISTEXT(G9),"",G9*C3)</f>
        <v>0</v>
      </c>
      <c r="I9" s="279"/>
    </row>
    <row r="10" spans="1:9" ht="13.5" customHeight="1">
      <c r="A10" s="272"/>
      <c r="B10" s="272"/>
      <c r="C10" s="273"/>
      <c r="D10" s="274"/>
      <c r="E10" s="275"/>
      <c r="F10" s="276"/>
      <c r="G10" s="277">
        <f t="shared" si="0"/>
        <v>0</v>
      </c>
      <c r="H10" s="278">
        <f>IF(ISTEXT(G10),"",G10*C3)</f>
        <v>0</v>
      </c>
      <c r="I10" s="279"/>
    </row>
    <row r="11" spans="1:9" ht="13.5" customHeight="1">
      <c r="A11" s="272"/>
      <c r="B11" s="272"/>
      <c r="C11" s="273"/>
      <c r="D11" s="274"/>
      <c r="E11" s="275"/>
      <c r="F11" s="276"/>
      <c r="G11" s="277">
        <f t="shared" si="0"/>
        <v>0</v>
      </c>
      <c r="H11" s="278">
        <f>IF(ISTEXT(G11),"",G11*C3)</f>
        <v>0</v>
      </c>
      <c r="I11" s="279"/>
    </row>
    <row r="12" spans="1:9" ht="13.5" customHeight="1">
      <c r="A12" s="272"/>
      <c r="B12" s="272"/>
      <c r="C12" s="273"/>
      <c r="D12" s="274"/>
      <c r="E12" s="275"/>
      <c r="F12" s="276"/>
      <c r="G12" s="277">
        <f t="shared" si="0"/>
        <v>0</v>
      </c>
      <c r="H12" s="278">
        <f>IF(ISTEXT(G12),"",G12*C3)</f>
        <v>0</v>
      </c>
      <c r="I12" s="279"/>
    </row>
    <row r="13" spans="1:9" ht="13.5" customHeight="1">
      <c r="A13" s="272"/>
      <c r="B13" s="272"/>
      <c r="C13" s="273"/>
      <c r="D13" s="274"/>
      <c r="E13" s="275"/>
      <c r="F13" s="276"/>
      <c r="G13" s="277">
        <f t="shared" si="0"/>
        <v>0</v>
      </c>
      <c r="H13" s="278">
        <f>IF(ISTEXT(G13),"",G13*C3)</f>
        <v>0</v>
      </c>
      <c r="I13" s="279"/>
    </row>
    <row r="14" spans="1:9" ht="13.5" customHeight="1">
      <c r="A14" s="272"/>
      <c r="B14" s="280"/>
      <c r="C14" s="273"/>
      <c r="D14" s="274"/>
      <c r="E14" s="275"/>
      <c r="F14" s="276"/>
      <c r="G14" s="277">
        <f t="shared" si="0"/>
        <v>0</v>
      </c>
      <c r="H14" s="278">
        <f>IF(ISTEXT(G14),"",G14*C3)</f>
        <v>0</v>
      </c>
      <c r="I14" s="279"/>
    </row>
    <row r="15" spans="1:9" ht="13.5" customHeight="1">
      <c r="A15" s="280"/>
      <c r="B15" s="272"/>
      <c r="C15" s="273"/>
      <c r="D15" s="274"/>
      <c r="E15" s="281"/>
      <c r="F15" s="282"/>
      <c r="G15" s="277">
        <f t="shared" si="0"/>
        <v>0</v>
      </c>
      <c r="H15" s="278">
        <f>IF(ISTEXT(G15),"",G15*C3)</f>
        <v>0</v>
      </c>
      <c r="I15" s="279"/>
    </row>
    <row r="16" spans="1:9" ht="13.5" customHeight="1">
      <c r="A16" s="272"/>
      <c r="B16" s="272"/>
      <c r="C16" s="273"/>
      <c r="D16" s="274"/>
      <c r="E16" s="275"/>
      <c r="F16" s="276"/>
      <c r="G16" s="277">
        <f t="shared" si="0"/>
        <v>0</v>
      </c>
      <c r="H16" s="278">
        <f>IF(ISTEXT(G16),"",G16*C3)</f>
        <v>0</v>
      </c>
      <c r="I16" s="279"/>
    </row>
    <row r="17" spans="1:9" ht="13.5" customHeight="1">
      <c r="A17" s="272"/>
      <c r="B17" s="279"/>
      <c r="C17" s="273"/>
      <c r="D17" s="274"/>
      <c r="E17" s="275"/>
      <c r="F17" s="276"/>
      <c r="G17" s="277">
        <f t="shared" si="0"/>
        <v>0</v>
      </c>
      <c r="H17" s="278">
        <f>IF(ISTEXT(G17),"",G17*C3)</f>
        <v>0</v>
      </c>
      <c r="I17" s="279"/>
    </row>
    <row r="18" spans="1:9" ht="13.5" customHeight="1">
      <c r="A18" s="272"/>
      <c r="B18" s="279"/>
      <c r="C18" s="273"/>
      <c r="D18" s="274"/>
      <c r="E18" s="275"/>
      <c r="F18" s="276"/>
      <c r="G18" s="277">
        <f t="shared" si="0"/>
        <v>0</v>
      </c>
      <c r="H18" s="278">
        <f>IF(ISTEXT(G18),"",G18*C3)</f>
        <v>0</v>
      </c>
      <c r="I18" s="279"/>
    </row>
    <row r="19" spans="1:9" ht="13.5" customHeight="1">
      <c r="A19" s="272"/>
      <c r="B19" s="279"/>
      <c r="C19" s="273"/>
      <c r="D19" s="274"/>
      <c r="E19" s="275"/>
      <c r="F19" s="276"/>
      <c r="G19" s="277">
        <f t="shared" si="0"/>
        <v>0</v>
      </c>
      <c r="H19" s="278">
        <f>IF(ISTEXT(G19),"",G19*C3)</f>
        <v>0</v>
      </c>
      <c r="I19" s="279"/>
    </row>
    <row r="20" spans="1:9" ht="13.5" customHeight="1">
      <c r="A20" s="272"/>
      <c r="B20" s="279"/>
      <c r="C20" s="273"/>
      <c r="D20" s="274"/>
      <c r="E20" s="275"/>
      <c r="F20" s="276"/>
      <c r="G20" s="277">
        <f t="shared" si="0"/>
        <v>0</v>
      </c>
      <c r="H20" s="278">
        <f>IF(ISTEXT(G20),"",G20*C3)</f>
        <v>0</v>
      </c>
      <c r="I20" s="283"/>
    </row>
    <row r="21" spans="1:9" ht="13.5" customHeight="1">
      <c r="A21" s="284"/>
      <c r="B21" s="285"/>
      <c r="C21" s="286"/>
      <c r="D21" s="287"/>
      <c r="E21" s="288"/>
      <c r="F21" s="289"/>
      <c r="G21" s="277">
        <f t="shared" si="0"/>
        <v>0</v>
      </c>
      <c r="H21" s="278">
        <f>IF(ISTEXT(G21),"",G21*C3)</f>
        <v>0</v>
      </c>
      <c r="I21" s="290"/>
    </row>
    <row r="22" spans="1:9" ht="13.5" customHeight="1">
      <c r="A22" s="284"/>
      <c r="B22" s="285"/>
      <c r="C22" s="286"/>
      <c r="D22" s="287"/>
      <c r="E22" s="288"/>
      <c r="F22" s="289"/>
      <c r="G22" s="277">
        <f t="shared" si="0"/>
        <v>0</v>
      </c>
      <c r="H22" s="278">
        <f>IF(ISTEXT(G22),"",G22*C3)</f>
        <v>0</v>
      </c>
      <c r="I22" s="290"/>
    </row>
    <row r="23" spans="1:9" ht="13.5" customHeight="1">
      <c r="A23" s="284"/>
      <c r="B23" s="285"/>
      <c r="C23" s="286"/>
      <c r="D23" s="287"/>
      <c r="E23" s="288"/>
      <c r="F23" s="289"/>
      <c r="G23" s="277">
        <f t="shared" si="0"/>
        <v>0</v>
      </c>
      <c r="H23" s="278">
        <f>IF(ISTEXT(G23),"",G23*C3)</f>
        <v>0</v>
      </c>
      <c r="I23" s="290"/>
    </row>
    <row r="24" spans="1:9" ht="13.5" customHeight="1">
      <c r="A24" s="272"/>
      <c r="B24" s="279"/>
      <c r="C24" s="273"/>
      <c r="D24" s="274"/>
      <c r="E24" s="275"/>
      <c r="F24" s="276"/>
      <c r="G24" s="277">
        <f t="shared" si="0"/>
        <v>0</v>
      </c>
      <c r="H24" s="278">
        <f>IF(ISTEXT(G24),"",G24*C3)</f>
        <v>0</v>
      </c>
      <c r="I24" s="291"/>
    </row>
    <row r="25" spans="1:9" ht="57" customHeight="1" hidden="1">
      <c r="A25" s="257" t="s">
        <v>256</v>
      </c>
      <c r="B25" s="258" t="s">
        <v>257</v>
      </c>
      <c r="C25" s="259" t="s">
        <v>258</v>
      </c>
      <c r="D25" s="292" t="s">
        <v>259</v>
      </c>
      <c r="E25" s="293" t="s">
        <v>260</v>
      </c>
      <c r="F25" s="292" t="s">
        <v>261</v>
      </c>
      <c r="G25" s="262" t="s">
        <v>265</v>
      </c>
      <c r="H25" s="263" t="s">
        <v>263</v>
      </c>
      <c r="I25" s="262" t="s">
        <v>264</v>
      </c>
    </row>
    <row r="26" spans="1:9" ht="13.5" customHeight="1">
      <c r="A26" s="264"/>
      <c r="B26" s="271"/>
      <c r="C26" s="265"/>
      <c r="D26" s="266"/>
      <c r="E26" s="267"/>
      <c r="F26" s="268"/>
      <c r="G26" s="269">
        <f aca="true" t="shared" si="1" ref="G26:G35">C26*D26*365/1000+E26*F26*12</f>
        <v>0</v>
      </c>
      <c r="H26" s="278">
        <f>IF(ISTEXT(G26),"",G26*C3)</f>
        <v>0</v>
      </c>
      <c r="I26" s="283"/>
    </row>
    <row r="27" spans="1:9" ht="13.5" customHeight="1">
      <c r="A27" s="272"/>
      <c r="B27" s="279"/>
      <c r="C27" s="273"/>
      <c r="D27" s="274"/>
      <c r="E27" s="275"/>
      <c r="F27" s="276"/>
      <c r="G27" s="277">
        <f t="shared" si="1"/>
        <v>0</v>
      </c>
      <c r="H27" s="278">
        <f>IF(ISTEXT(G27),"",G27*C3)</f>
        <v>0</v>
      </c>
      <c r="I27" s="283"/>
    </row>
    <row r="28" spans="1:9" ht="13.5" customHeight="1">
      <c r="A28" s="272"/>
      <c r="B28" s="279"/>
      <c r="C28" s="273"/>
      <c r="D28" s="274"/>
      <c r="E28" s="275"/>
      <c r="F28" s="276"/>
      <c r="G28" s="277">
        <f t="shared" si="1"/>
        <v>0</v>
      </c>
      <c r="H28" s="278">
        <f>IF(ISTEXT(G28),"",G28*C3)</f>
        <v>0</v>
      </c>
      <c r="I28" s="291"/>
    </row>
    <row r="29" spans="1:9" ht="13.5" customHeight="1">
      <c r="A29" s="272"/>
      <c r="B29" s="279"/>
      <c r="C29" s="273"/>
      <c r="D29" s="274"/>
      <c r="E29" s="275"/>
      <c r="F29" s="276"/>
      <c r="G29" s="277">
        <f t="shared" si="1"/>
        <v>0</v>
      </c>
      <c r="H29" s="278">
        <f>IF(ISTEXT(G29),"",G29*C3)</f>
        <v>0</v>
      </c>
      <c r="I29" s="283"/>
    </row>
    <row r="30" spans="1:9" ht="13.5" customHeight="1">
      <c r="A30" s="272"/>
      <c r="B30" s="279"/>
      <c r="C30" s="273"/>
      <c r="D30" s="274"/>
      <c r="E30" s="275"/>
      <c r="F30" s="276"/>
      <c r="G30" s="277">
        <f t="shared" si="1"/>
        <v>0</v>
      </c>
      <c r="H30" s="278">
        <f>IF(ISTEXT(G30),"",G30*C3)</f>
        <v>0</v>
      </c>
      <c r="I30" s="291"/>
    </row>
    <row r="31" spans="1:9" ht="13.5" customHeight="1">
      <c r="A31" s="272"/>
      <c r="B31" s="279"/>
      <c r="C31" s="273"/>
      <c r="D31" s="274"/>
      <c r="E31" s="275"/>
      <c r="F31" s="276"/>
      <c r="G31" s="277">
        <f t="shared" si="1"/>
        <v>0</v>
      </c>
      <c r="H31" s="278">
        <f>IF(ISTEXT(G31),"",G31*C3)</f>
        <v>0</v>
      </c>
      <c r="I31" s="283"/>
    </row>
    <row r="32" spans="1:9" ht="13.5" customHeight="1">
      <c r="A32" s="272"/>
      <c r="B32" s="279"/>
      <c r="C32" s="273"/>
      <c r="D32" s="274"/>
      <c r="E32" s="275"/>
      <c r="F32" s="276"/>
      <c r="G32" s="277">
        <f t="shared" si="1"/>
        <v>0</v>
      </c>
      <c r="H32" s="278">
        <f>IF(ISTEXT(G32),"",G32*C3)</f>
        <v>0</v>
      </c>
      <c r="I32" s="291"/>
    </row>
    <row r="33" spans="1:9" ht="13.5" customHeight="1">
      <c r="A33" s="272"/>
      <c r="B33" s="279"/>
      <c r="C33" s="273"/>
      <c r="D33" s="274"/>
      <c r="E33" s="275"/>
      <c r="F33" s="276"/>
      <c r="G33" s="277">
        <f t="shared" si="1"/>
        <v>0</v>
      </c>
      <c r="H33" s="278">
        <f>IF(ISTEXT(G33),"",G33*C3)</f>
        <v>0</v>
      </c>
      <c r="I33" s="283"/>
    </row>
    <row r="34" spans="1:9" ht="13.5" customHeight="1">
      <c r="A34" s="272"/>
      <c r="B34" s="279"/>
      <c r="C34" s="273"/>
      <c r="D34" s="274"/>
      <c r="E34" s="275"/>
      <c r="F34" s="276"/>
      <c r="G34" s="277">
        <f t="shared" si="1"/>
        <v>0</v>
      </c>
      <c r="H34" s="278">
        <f>IF(ISTEXT(G34),"",G34*C3)</f>
        <v>0</v>
      </c>
      <c r="I34" s="291"/>
    </row>
    <row r="35" spans="1:9" ht="13.5" customHeight="1">
      <c r="A35" s="272"/>
      <c r="B35" s="279"/>
      <c r="C35" s="273"/>
      <c r="D35" s="274"/>
      <c r="E35" s="275"/>
      <c r="F35" s="276"/>
      <c r="G35" s="277">
        <f t="shared" si="1"/>
        <v>0</v>
      </c>
      <c r="H35" s="278">
        <f>IF(ISTEXT(G35),"",G35*C3)</f>
        <v>0</v>
      </c>
      <c r="I35" s="291"/>
    </row>
    <row r="36" spans="1:9" ht="19.5" customHeight="1">
      <c r="A36" s="294" t="s">
        <v>266</v>
      </c>
      <c r="B36" s="294"/>
      <c r="C36" s="294"/>
      <c r="D36" s="294"/>
      <c r="E36" s="294"/>
      <c r="F36" s="294"/>
      <c r="G36" s="294"/>
      <c r="H36" s="294"/>
      <c r="I36" s="294"/>
    </row>
    <row r="37" spans="1:9" ht="13.5" customHeight="1">
      <c r="A37" s="272"/>
      <c r="B37" s="272"/>
      <c r="C37" s="295"/>
      <c r="D37" s="295"/>
      <c r="E37" s="295"/>
      <c r="F37" s="295"/>
      <c r="G37" s="276">
        <v>0</v>
      </c>
      <c r="H37" s="278">
        <f>IF(ISTEXT(G37),"",G37*C3)</f>
        <v>0</v>
      </c>
      <c r="I37" s="291"/>
    </row>
    <row r="38" spans="1:9" ht="13.5" customHeight="1">
      <c r="A38" s="272"/>
      <c r="B38" s="272"/>
      <c r="C38" s="295"/>
      <c r="D38" s="295"/>
      <c r="E38" s="295"/>
      <c r="F38" s="295"/>
      <c r="G38" s="276">
        <v>0</v>
      </c>
      <c r="H38" s="278">
        <f>IF(ISTEXT(G38),"",G38*C3)</f>
        <v>0</v>
      </c>
      <c r="I38" s="291"/>
    </row>
    <row r="39" spans="1:9" ht="13.5" customHeight="1">
      <c r="A39" s="272"/>
      <c r="B39" s="272"/>
      <c r="C39" s="295"/>
      <c r="D39" s="295"/>
      <c r="E39" s="295"/>
      <c r="F39" s="295"/>
      <c r="G39" s="276">
        <v>0</v>
      </c>
      <c r="H39" s="278">
        <f>IF(ISTEXT(G39),"",G39*C3)</f>
        <v>0</v>
      </c>
      <c r="I39" s="291"/>
    </row>
    <row r="40" spans="1:9" ht="13.5" customHeight="1">
      <c r="A40" s="272"/>
      <c r="B40" s="272"/>
      <c r="C40" s="295"/>
      <c r="D40" s="295"/>
      <c r="E40" s="295"/>
      <c r="F40" s="295"/>
      <c r="G40" s="276">
        <v>0</v>
      </c>
      <c r="H40" s="278">
        <f>IF(ISTEXT(G40),"",G40*C3)</f>
        <v>0</v>
      </c>
      <c r="I40" s="291"/>
    </row>
    <row r="41" spans="1:9" ht="13.5" customHeight="1">
      <c r="A41" s="272"/>
      <c r="B41" s="272"/>
      <c r="C41" s="295"/>
      <c r="D41" s="295"/>
      <c r="E41" s="295"/>
      <c r="F41" s="295"/>
      <c r="G41" s="276">
        <v>0</v>
      </c>
      <c r="H41" s="278">
        <f>IF(ISTEXT(G41),"",G41*C3)</f>
        <v>0</v>
      </c>
      <c r="I41" s="291"/>
    </row>
    <row r="42" spans="1:9" ht="19.5" customHeight="1">
      <c r="A42" s="294" t="s">
        <v>267</v>
      </c>
      <c r="B42" s="294"/>
      <c r="C42" s="294"/>
      <c r="D42" s="294"/>
      <c r="E42" s="294"/>
      <c r="F42" s="294"/>
      <c r="G42" s="294"/>
      <c r="H42" s="294"/>
      <c r="I42" s="294"/>
    </row>
    <row r="43" spans="1:9" ht="13.5" customHeight="1">
      <c r="A43" s="272"/>
      <c r="B43" s="272"/>
      <c r="C43" s="295"/>
      <c r="D43" s="295"/>
      <c r="E43" s="275"/>
      <c r="F43" s="276"/>
      <c r="G43" s="296">
        <f aca="true" t="shared" si="2" ref="G43:G47">E43*F43*12</f>
        <v>0</v>
      </c>
      <c r="H43" s="278">
        <f aca="true" t="shared" si="3" ref="H43:H47">IF(ISTEXT(G43),"",G43*C38)</f>
        <v>0</v>
      </c>
      <c r="I43" s="291"/>
    </row>
    <row r="44" spans="1:9" ht="13.5" customHeight="1">
      <c r="A44" s="272"/>
      <c r="B44" s="272"/>
      <c r="C44" s="295"/>
      <c r="D44" s="295"/>
      <c r="E44" s="275"/>
      <c r="F44" s="276"/>
      <c r="G44" s="296">
        <f t="shared" si="2"/>
        <v>0</v>
      </c>
      <c r="H44" s="278">
        <f t="shared" si="3"/>
        <v>0</v>
      </c>
      <c r="I44" s="291"/>
    </row>
    <row r="45" spans="1:9" ht="13.5" customHeight="1">
      <c r="A45" s="272"/>
      <c r="B45" s="279"/>
      <c r="C45" s="295"/>
      <c r="D45" s="295"/>
      <c r="E45" s="275"/>
      <c r="F45" s="276"/>
      <c r="G45" s="296">
        <f t="shared" si="2"/>
        <v>0</v>
      </c>
      <c r="H45" s="278">
        <f t="shared" si="3"/>
        <v>0</v>
      </c>
      <c r="I45" s="291"/>
    </row>
    <row r="46" spans="1:9" ht="13.5" customHeight="1">
      <c r="A46" s="272"/>
      <c r="B46" s="279"/>
      <c r="C46" s="295"/>
      <c r="D46" s="295"/>
      <c r="E46" s="275"/>
      <c r="F46" s="289"/>
      <c r="G46" s="296">
        <f t="shared" si="2"/>
        <v>0</v>
      </c>
      <c r="H46" s="278">
        <f t="shared" si="3"/>
        <v>0</v>
      </c>
      <c r="I46" s="291"/>
    </row>
    <row r="47" spans="1:9" ht="13.5" customHeight="1">
      <c r="A47" s="297"/>
      <c r="B47" s="297"/>
      <c r="C47" s="295"/>
      <c r="D47" s="295"/>
      <c r="E47" s="298"/>
      <c r="F47" s="299"/>
      <c r="G47" s="296">
        <f t="shared" si="2"/>
        <v>0</v>
      </c>
      <c r="H47" s="278">
        <f t="shared" si="3"/>
        <v>0</v>
      </c>
      <c r="I47" s="279"/>
    </row>
    <row r="48" spans="1:9" ht="19.5" customHeight="1">
      <c r="A48" s="300"/>
      <c r="B48" s="301"/>
      <c r="C48" s="302"/>
      <c r="D48" s="303"/>
      <c r="E48" s="304"/>
      <c r="F48" s="305" t="s">
        <v>268</v>
      </c>
      <c r="G48" s="306">
        <f>ROUND(SUM(JahresStromverbrauch),1)</f>
        <v>0</v>
      </c>
      <c r="H48" s="307">
        <f>ROUND(SUM(JahresStromkosten),2)</f>
        <v>0</v>
      </c>
      <c r="I48" s="301"/>
    </row>
  </sheetData>
  <sheetProtection selectLockedCells="1" selectUnlockedCells="1"/>
  <mergeCells count="7">
    <mergeCell ref="A1:I1"/>
    <mergeCell ref="A3:B3"/>
    <mergeCell ref="F3:G3"/>
    <mergeCell ref="A4:B4"/>
    <mergeCell ref="D4:H4"/>
    <mergeCell ref="A36:I36"/>
    <mergeCell ref="A42:I42"/>
  </mergeCells>
  <printOptions/>
  <pageMargins left="0.7875" right="0.7875" top="1.0527777777777778" bottom="1.0527777777777778" header="0.7875" footer="0.7875"/>
  <pageSetup horizontalDpi="300" verticalDpi="300" orientation="portrait" paperSize="9"/>
  <headerFooter alignWithMargins="0">
    <oddHeader>&amp;C&amp;"Times New Roman,Navadno"&amp;12&amp;A</oddHeader>
    <oddFooter>&amp;C&amp;"Times New Roman,Navadno"&amp;12Page &amp;P</oddFooter>
  </headerFooter>
  <drawing r:id="rId1"/>
</worksheet>
</file>

<file path=xl/worksheets/sheet4.xml><?xml version="1.0" encoding="utf-8"?>
<worksheet xmlns="http://schemas.openxmlformats.org/spreadsheetml/2006/main" xmlns:r="http://schemas.openxmlformats.org/officeDocument/2006/relationships">
  <sheetPr>
    <tabColor indexed="12"/>
  </sheetPr>
  <dimension ref="A1:IV148"/>
  <sheetViews>
    <sheetView workbookViewId="0" topLeftCell="A1">
      <selection activeCell="U82" sqref="U82"/>
    </sheetView>
  </sheetViews>
  <sheetFormatPr defaultColWidth="9.140625" defaultRowHeight="12.75"/>
  <cols>
    <col min="1" max="1" width="2.7109375" style="1" customWidth="1"/>
    <col min="2" max="5" width="4.7109375" style="1" customWidth="1"/>
    <col min="6" max="6" width="5.421875" style="1" customWidth="1"/>
    <col min="7" max="7" width="5.57421875" style="1" customWidth="1"/>
    <col min="8" max="8" width="4.7109375" style="1" customWidth="1"/>
    <col min="9" max="9" width="5.00390625" style="1" customWidth="1"/>
    <col min="10" max="10" width="5.140625" style="1" customWidth="1"/>
    <col min="11" max="12" width="4.7109375" style="1" customWidth="1"/>
    <col min="13" max="13" width="5.140625" style="1" customWidth="1"/>
    <col min="14" max="14" width="4.7109375" style="1" customWidth="1"/>
    <col min="15" max="15" width="5.7109375" style="1" customWidth="1"/>
    <col min="16" max="19" width="4.7109375" style="1" customWidth="1"/>
    <col min="20" max="20" width="4.28125" style="1" customWidth="1"/>
    <col min="21" max="22" width="4.7109375" style="1" customWidth="1"/>
    <col min="23" max="23" width="10.7109375" style="1" customWidth="1"/>
    <col min="24" max="24" width="25.421875" style="1" customWidth="1"/>
    <col min="25" max="25" width="26.28125" style="1" hidden="1" customWidth="1"/>
    <col min="26" max="26" width="35.00390625" style="1" hidden="1" customWidth="1"/>
    <col min="27" max="27" width="2.00390625" style="1" customWidth="1"/>
    <col min="28" max="16384" width="11.421875" style="1" customWidth="1"/>
  </cols>
  <sheetData>
    <row r="1" spans="1:256" ht="44.25" customHeight="1">
      <c r="A1"/>
      <c r="B1"/>
      <c r="C1" s="35"/>
      <c r="D1" s="35"/>
      <c r="E1" s="35"/>
      <c r="F1" s="36" t="s">
        <v>30</v>
      </c>
      <c r="G1" s="35"/>
      <c r="H1" s="35"/>
      <c r="I1" s="35"/>
      <c r="J1" s="35"/>
      <c r="K1" s="35"/>
      <c r="L1" s="35"/>
      <c r="M1" s="35"/>
      <c r="N1" s="35"/>
      <c r="O1" s="35"/>
      <c r="P1" s="35"/>
      <c r="Q1" s="35"/>
      <c r="R1" s="35"/>
      <c r="S1" s="2"/>
      <c r="T1" s="2"/>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7.5" customHeight="1">
      <c r="A2"/>
      <c r="B2"/>
      <c r="C2" s="35"/>
      <c r="D2" s="35"/>
      <c r="E2" s="35"/>
      <c r="F2" s="36"/>
      <c r="G2" s="35"/>
      <c r="H2" s="35"/>
      <c r="I2" s="35"/>
      <c r="J2" s="35"/>
      <c r="K2" s="35"/>
      <c r="L2" s="35"/>
      <c r="M2" s="35"/>
      <c r="N2" s="35"/>
      <c r="O2" s="35"/>
      <c r="P2" s="35"/>
      <c r="Q2" s="35"/>
      <c r="R2" s="35"/>
      <c r="S2" s="2"/>
      <c r="T2" s="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c r="B3" s="308"/>
      <c r="C3" s="2"/>
      <c r="D3" s="2"/>
      <c r="E3" s="2"/>
      <c r="F3" s="2"/>
      <c r="G3" s="2"/>
      <c r="H3" s="2"/>
      <c r="I3" s="2"/>
      <c r="J3" s="2"/>
      <c r="K3" s="2"/>
      <c r="L3" s="2"/>
      <c r="M3"/>
      <c r="N3"/>
      <c r="O3" s="44"/>
      <c r="P3" s="46" t="s">
        <v>31</v>
      </c>
      <c r="Q3" s="309">
        <f>'household+building'!Q3</f>
        <v>0</v>
      </c>
      <c r="R3" s="309"/>
      <c r="S3"/>
      <c r="T3"/>
      <c r="U3"/>
      <c r="V3" s="199"/>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7.25" customHeight="1">
      <c r="A4"/>
      <c r="B4" s="53" t="s">
        <v>269</v>
      </c>
      <c r="C4" s="2"/>
      <c r="D4" s="2"/>
      <c r="E4" s="2"/>
      <c r="F4" s="2"/>
      <c r="G4" s="2"/>
      <c r="H4" s="2"/>
      <c r="I4" s="2"/>
      <c r="J4" s="2"/>
      <c r="K4" s="2"/>
      <c r="L4"/>
      <c r="M4" s="2"/>
      <c r="N4"/>
      <c r="O4" s="2"/>
      <c r="P4"/>
      <c r="Q4"/>
      <c r="R4"/>
      <c r="S4"/>
      <c r="T4" s="2"/>
      <c r="U4"/>
      <c r="V4" s="198"/>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0.5" customHeight="1">
      <c r="A5"/>
      <c r="B5" s="308"/>
      <c r="C5" s="2"/>
      <c r="D5" s="2"/>
      <c r="E5" s="2"/>
      <c r="F5" s="2"/>
      <c r="G5" s="2"/>
      <c r="H5" s="2"/>
      <c r="I5" s="2"/>
      <c r="J5" s="2"/>
      <c r="K5" s="2"/>
      <c r="L5" s="2"/>
      <c r="M5" s="2"/>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0.5" customHeight="1">
      <c r="A6"/>
      <c r="B6" s="308"/>
      <c r="C6" s="2"/>
      <c r="D6" s="2"/>
      <c r="E6" s="2"/>
      <c r="F6" s="2"/>
      <c r="G6" s="2"/>
      <c r="H6" s="2"/>
      <c r="I6" s="2"/>
      <c r="J6" s="2"/>
      <c r="K6" s="2"/>
      <c r="L6" s="2"/>
      <c r="M6" s="2"/>
      <c r="N6"/>
      <c r="O6" s="2"/>
      <c r="P6" s="2"/>
      <c r="Q6" s="2"/>
      <c r="R6" s="2"/>
      <c r="S6" s="2"/>
      <c r="T6" s="2"/>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75" customHeight="1">
      <c r="A7"/>
      <c r="B7" s="5" t="s">
        <v>270</v>
      </c>
      <c r="C7"/>
      <c r="D7"/>
      <c r="E7"/>
      <c r="F7"/>
      <c r="G7" s="147">
        <f>'household+building'!G26</f>
        <v>0</v>
      </c>
      <c r="H7"/>
      <c r="I7"/>
      <c r="J7" s="2"/>
      <c r="K7" s="2"/>
      <c r="L7"/>
      <c r="M7" s="87" t="s">
        <v>271</v>
      </c>
      <c r="N7" s="147">
        <f>'household+building'!J42</f>
        <v>0</v>
      </c>
      <c r="O7" s="147"/>
      <c r="P7" s="44" t="s">
        <v>147</v>
      </c>
      <c r="Q7" s="2"/>
      <c r="R7" s="2"/>
      <c r="S7" s="2"/>
      <c r="T7" s="2"/>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3:20" s="49" customFormat="1" ht="15" customHeight="1">
      <c r="M8" s="310" t="s">
        <v>272</v>
      </c>
      <c r="N8" s="147">
        <f>'household+building'!I46</f>
        <v>0</v>
      </c>
      <c r="O8" s="147"/>
      <c r="P8" s="311"/>
      <c r="Q8" s="312"/>
      <c r="R8" s="312"/>
      <c r="S8" s="312"/>
      <c r="T8" s="312"/>
    </row>
    <row r="9" spans="1:256" ht="6" customHeight="1">
      <c r="A9"/>
      <c r="B9" s="308"/>
      <c r="C9" s="2"/>
      <c r="D9" s="2"/>
      <c r="E9" s="2"/>
      <c r="F9" s="2"/>
      <c r="G9" s="2"/>
      <c r="H9" s="2"/>
      <c r="I9" s="2"/>
      <c r="J9" s="2"/>
      <c r="K9" s="2"/>
      <c r="L9" s="2"/>
      <c r="M9" s="2"/>
      <c r="N9" s="2"/>
      <c r="O9" s="2"/>
      <c r="P9" s="2"/>
      <c r="Q9" s="2"/>
      <c r="R9" s="2"/>
      <c r="S9" s="2"/>
      <c r="T9" s="2"/>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6" customHeight="1">
      <c r="A10" s="95"/>
      <c r="B10" s="313"/>
      <c r="C10" s="313"/>
      <c r="D10" s="313"/>
      <c r="E10" s="313"/>
      <c r="F10" s="313"/>
      <c r="G10" s="313"/>
      <c r="H10" s="313"/>
      <c r="I10" s="313"/>
      <c r="J10" s="313"/>
      <c r="K10" s="313"/>
      <c r="L10" s="314"/>
      <c r="M10" s="314"/>
      <c r="N10" s="313"/>
      <c r="O10" s="313"/>
      <c r="P10" s="313"/>
      <c r="Q10" s="313"/>
      <c r="R10" s="313"/>
      <c r="S10" s="94"/>
      <c r="T10" s="94"/>
      <c r="U10"/>
      <c r="V10"/>
      <c r="W10"/>
      <c r="X10"/>
      <c r="Y10"/>
      <c r="Z10"/>
      <c r="AA10"/>
      <c r="AB10" s="14"/>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 customHeight="1">
      <c r="A11" s="315"/>
      <c r="B11" s="316" t="s">
        <v>273</v>
      </c>
      <c r="C11" s="317"/>
      <c r="D11" s="317"/>
      <c r="E11" s="317"/>
      <c r="F11" s="317"/>
      <c r="G11" s="317"/>
      <c r="H11" s="317"/>
      <c r="I11" s="238"/>
      <c r="J11" s="317"/>
      <c r="K11" s="138"/>
      <c r="L11" s="318"/>
      <c r="M11" s="11"/>
      <c r="N11" s="11"/>
      <c r="O11" s="11"/>
      <c r="P11" s="11"/>
      <c r="Q11" s="37"/>
      <c r="R11" s="11"/>
      <c r="S11" s="11"/>
      <c r="T11"/>
      <c r="U11"/>
      <c r="V11"/>
      <c r="W11"/>
      <c r="X11"/>
      <c r="Y11"/>
      <c r="Z11"/>
      <c r="AA11"/>
      <c r="AB11" s="14"/>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0.5" customHeight="1">
      <c r="A12" s="315"/>
      <c r="B12" s="319" t="s">
        <v>274</v>
      </c>
      <c r="C12" s="320"/>
      <c r="D12" s="320"/>
      <c r="E12" s="320"/>
      <c r="F12" s="320"/>
      <c r="G12" s="320"/>
      <c r="H12" s="320"/>
      <c r="I12" s="321"/>
      <c r="J12" s="320"/>
      <c r="K12" s="151"/>
      <c r="L12" s="322"/>
      <c r="M12" s="323"/>
      <c r="N12" s="324"/>
      <c r="O12" s="324"/>
      <c r="P12" s="324"/>
      <c r="Q12" s="325"/>
      <c r="R12" s="152"/>
      <c r="S12" s="11"/>
      <c r="T12" s="19"/>
      <c r="U12"/>
      <c r="V12"/>
      <c r="W12"/>
      <c r="X12"/>
      <c r="Y12"/>
      <c r="Z12"/>
      <c r="AA12"/>
      <c r="AB12" s="14"/>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 customHeight="1">
      <c r="A13" s="315"/>
      <c r="B13" s="326" t="s">
        <v>256</v>
      </c>
      <c r="C13" s="326"/>
      <c r="D13" s="326"/>
      <c r="E13" s="327" t="s">
        <v>275</v>
      </c>
      <c r="F13" s="328" t="s">
        <v>276</v>
      </c>
      <c r="G13" s="328" t="s">
        <v>277</v>
      </c>
      <c r="H13" s="329" t="s">
        <v>278</v>
      </c>
      <c r="I13" s="329"/>
      <c r="J13" s="329"/>
      <c r="K13" s="329"/>
      <c r="L13" s="329"/>
      <c r="M13" s="330" t="s">
        <v>279</v>
      </c>
      <c r="N13" s="330"/>
      <c r="O13" s="330"/>
      <c r="P13" s="330"/>
      <c r="Q13" s="330" t="s">
        <v>280</v>
      </c>
      <c r="R13" s="330"/>
      <c r="S13" s="331"/>
      <c r="T13"/>
      <c r="U13"/>
      <c r="V13"/>
      <c r="W13"/>
      <c r="X13" s="5" t="s">
        <v>281</v>
      </c>
      <c r="Y13" s="79">
        <f>'data devices+costs'!B4</f>
        <v>0</v>
      </c>
      <c r="Z13" s="332">
        <f>'data devices+costs'!D4</f>
        <v>1</v>
      </c>
      <c r="AA13"/>
      <c r="AB13" s="14"/>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 customHeight="1">
      <c r="A14" s="315"/>
      <c r="B14" s="326"/>
      <c r="C14" s="326"/>
      <c r="D14" s="326"/>
      <c r="E14" s="327"/>
      <c r="F14" s="327"/>
      <c r="G14" s="327"/>
      <c r="H14" s="329"/>
      <c r="I14" s="329"/>
      <c r="J14" s="329"/>
      <c r="K14" s="329"/>
      <c r="L14" s="329"/>
      <c r="M14" s="330" t="s">
        <v>155</v>
      </c>
      <c r="N14" s="330"/>
      <c r="O14" s="330" t="s">
        <v>282</v>
      </c>
      <c r="P14" s="330"/>
      <c r="Q14" s="330"/>
      <c r="R14" s="330"/>
      <c r="S14"/>
      <c r="T14" s="199"/>
      <c r="U14"/>
      <c r="V14" s="198"/>
      <c r="W14"/>
      <c r="X14" s="5" t="s">
        <v>283</v>
      </c>
      <c r="Y14" s="79">
        <f>'data devices+costs'!B5</f>
        <v>0</v>
      </c>
      <c r="Z14" s="332">
        <f>'data devices+costs'!D5</f>
        <v>1</v>
      </c>
      <c r="AA14"/>
      <c r="AB14" s="5"/>
      <c r="AC14" s="333"/>
      <c r="AD14" s="1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s="74"/>
      <c r="B15" s="334"/>
      <c r="C15" s="334"/>
      <c r="D15" s="334"/>
      <c r="E15" s="335"/>
      <c r="F15" s="336"/>
      <c r="G15" s="58"/>
      <c r="H15" s="337"/>
      <c r="I15" s="337"/>
      <c r="J15" s="337"/>
      <c r="K15" s="337"/>
      <c r="L15" s="338"/>
      <c r="M15" s="339">
        <f>((E15-G15)*F15*L15*'household+building'!P$28/1000)</f>
        <v>0</v>
      </c>
      <c r="N15" s="339"/>
      <c r="O15" s="340">
        <f>M15*'household+building'!F$38</f>
        <v>0</v>
      </c>
      <c r="P15" s="340"/>
      <c r="Q15" s="340">
        <f aca="true" t="shared" si="0" ref="Q15:Q24">IF(H15=$Y$13,$Z$13,IF(H15=$Y$14,$Z$14,IF(H15=$Y$15,$Z$15,IF(H15=$Y$16,$Z$16,IF(H15=$Y$17,$Z$17,IF(H15=$Y$18,$Z$18,IF(H15=$Y$19,$Z$19,IF(H15=$Y$20,$Z$20,0))))))))*L15</f>
        <v>0</v>
      </c>
      <c r="R15" s="340"/>
      <c r="S15"/>
      <c r="T15" s="199"/>
      <c r="U15" s="14"/>
      <c r="V15" s="14"/>
      <c r="W15"/>
      <c r="X15" s="5" t="s">
        <v>284</v>
      </c>
      <c r="Y15" s="79">
        <f>'data devices+costs'!B6</f>
        <v>0</v>
      </c>
      <c r="Z15" s="332">
        <f>'data devices+costs'!D6</f>
        <v>1</v>
      </c>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ustomHeight="1">
      <c r="A16" s="74"/>
      <c r="B16" s="334"/>
      <c r="C16" s="334"/>
      <c r="D16" s="334"/>
      <c r="E16" s="335"/>
      <c r="F16" s="336"/>
      <c r="G16" s="58"/>
      <c r="H16" s="337"/>
      <c r="I16" s="337"/>
      <c r="J16" s="337"/>
      <c r="K16" s="337"/>
      <c r="L16" s="338"/>
      <c r="M16" s="339">
        <f>((E16-G16)*F16*L16*'household+building'!P$28/1000)</f>
        <v>0</v>
      </c>
      <c r="N16" s="339"/>
      <c r="O16" s="340">
        <f>M16*'household+building'!F$38</f>
        <v>0</v>
      </c>
      <c r="P16" s="340"/>
      <c r="Q16" s="340">
        <f t="shared" si="0"/>
        <v>0</v>
      </c>
      <c r="R16" s="340"/>
      <c r="S16" s="19"/>
      <c r="T16" s="198"/>
      <c r="U16" s="14"/>
      <c r="V16" s="14"/>
      <c r="W16"/>
      <c r="X16" s="5" t="s">
        <v>285</v>
      </c>
      <c r="Y16" s="79">
        <f>'data devices+costs'!B7</f>
        <v>0</v>
      </c>
      <c r="Z16" s="332">
        <f>'data devices+costs'!D7</f>
        <v>0</v>
      </c>
      <c r="AA16"/>
      <c r="AB16" s="79"/>
      <c r="AC16" s="74"/>
      <c r="AD16" s="7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s="74"/>
      <c r="B17" s="334"/>
      <c r="C17" s="334"/>
      <c r="D17" s="334"/>
      <c r="E17" s="335"/>
      <c r="F17" s="336"/>
      <c r="G17" s="58"/>
      <c r="H17" s="337"/>
      <c r="I17" s="337"/>
      <c r="J17" s="337"/>
      <c r="K17" s="337"/>
      <c r="L17" s="338"/>
      <c r="M17" s="339">
        <f>((E17-G17)*F17*L17*'household+building'!P$28/1000)</f>
        <v>0</v>
      </c>
      <c r="N17" s="339"/>
      <c r="O17" s="340">
        <f>M17*'household+building'!F$38</f>
        <v>0</v>
      </c>
      <c r="P17" s="340"/>
      <c r="Q17" s="340">
        <f t="shared" si="0"/>
        <v>0</v>
      </c>
      <c r="R17" s="340"/>
      <c r="S17" s="19"/>
      <c r="T17" s="198"/>
      <c r="U17" s="14"/>
      <c r="V17" s="14"/>
      <c r="W17"/>
      <c r="X17" s="5" t="s">
        <v>286</v>
      </c>
      <c r="Y17" s="79">
        <f>'data devices+costs'!B8</f>
        <v>0</v>
      </c>
      <c r="Z17" s="332">
        <f>'data devices+costs'!D8</f>
        <v>0</v>
      </c>
      <c r="AA17"/>
      <c r="AB17" s="79"/>
      <c r="AC17" s="74"/>
      <c r="AD17" s="74"/>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c r="A18" s="74"/>
      <c r="B18" s="334"/>
      <c r="C18" s="334"/>
      <c r="D18" s="334"/>
      <c r="E18" s="335"/>
      <c r="F18" s="336"/>
      <c r="G18" s="58"/>
      <c r="H18" s="337"/>
      <c r="I18" s="337"/>
      <c r="J18" s="337"/>
      <c r="K18" s="337"/>
      <c r="L18" s="338"/>
      <c r="M18" s="339">
        <f>((E18-G18)*F18*L18*'household+building'!P$28/1000)</f>
        <v>0</v>
      </c>
      <c r="N18" s="339"/>
      <c r="O18" s="340">
        <f>M18*'household+building'!F$38</f>
        <v>0</v>
      </c>
      <c r="P18" s="340"/>
      <c r="Q18" s="340">
        <f t="shared" si="0"/>
        <v>0</v>
      </c>
      <c r="R18" s="340"/>
      <c r="S18" s="19"/>
      <c r="T18" s="198"/>
      <c r="U18" s="14"/>
      <c r="V18" s="14"/>
      <c r="W18"/>
      <c r="X18" s="5" t="s">
        <v>287</v>
      </c>
      <c r="Y18" s="79">
        <f>'data devices+costs'!B9</f>
        <v>0</v>
      </c>
      <c r="Z18" s="332">
        <f>'data devices+costs'!D9</f>
        <v>0</v>
      </c>
      <c r="AA18"/>
      <c r="AB18" s="79"/>
      <c r="AC18" s="74"/>
      <c r="AD18" s="74"/>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s="74"/>
      <c r="B19" s="334"/>
      <c r="C19" s="334"/>
      <c r="D19" s="334"/>
      <c r="E19" s="335"/>
      <c r="F19" s="336"/>
      <c r="G19" s="58"/>
      <c r="H19" s="337"/>
      <c r="I19" s="337"/>
      <c r="J19" s="337"/>
      <c r="K19" s="337"/>
      <c r="L19" s="338"/>
      <c r="M19" s="339">
        <f>((E19-G19)*F19*L19*'household+building'!P$28/1000)</f>
        <v>0</v>
      </c>
      <c r="N19" s="339"/>
      <c r="O19" s="340">
        <f>M19*'household+building'!F$38</f>
        <v>0</v>
      </c>
      <c r="P19" s="340"/>
      <c r="Q19" s="340">
        <f t="shared" si="0"/>
        <v>0</v>
      </c>
      <c r="R19" s="340"/>
      <c r="S19" s="19"/>
      <c r="T19" s="198"/>
      <c r="U19" s="14"/>
      <c r="V19" s="14"/>
      <c r="W19"/>
      <c r="X19" s="5" t="s">
        <v>288</v>
      </c>
      <c r="Y19" s="79">
        <f>'data devices+costs'!B10</f>
        <v>0</v>
      </c>
      <c r="Z19" s="332">
        <f>'data devices+costs'!D10</f>
        <v>0</v>
      </c>
      <c r="AA19"/>
      <c r="AB19" s="79"/>
      <c r="AC19" s="74"/>
      <c r="AD19" s="7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s="74"/>
      <c r="B20" s="334"/>
      <c r="C20" s="334"/>
      <c r="D20" s="334"/>
      <c r="E20" s="335"/>
      <c r="F20" s="336"/>
      <c r="G20" s="58"/>
      <c r="H20" s="337"/>
      <c r="I20" s="337"/>
      <c r="J20" s="337"/>
      <c r="K20" s="337"/>
      <c r="L20" s="338"/>
      <c r="M20" s="339">
        <f>((E20-G20)*F20*L20*'household+building'!P$28/1000)</f>
        <v>0</v>
      </c>
      <c r="N20" s="339"/>
      <c r="O20" s="340">
        <f>M20*'household+building'!F$38</f>
        <v>0</v>
      </c>
      <c r="P20" s="340"/>
      <c r="Q20" s="340">
        <f t="shared" si="0"/>
        <v>0</v>
      </c>
      <c r="R20" s="340"/>
      <c r="S20" s="19"/>
      <c r="T20" s="198"/>
      <c r="U20" s="14"/>
      <c r="V20" s="14"/>
      <c r="W20"/>
      <c r="X20" s="5" t="s">
        <v>289</v>
      </c>
      <c r="Y20" s="79">
        <f>'data devices+costs'!B11</f>
        <v>0</v>
      </c>
      <c r="Z20" s="332">
        <f>'data devices+costs'!D11</f>
        <v>0</v>
      </c>
      <c r="AA20"/>
      <c r="AB20" s="79"/>
      <c r="AC20" s="74"/>
      <c r="AD20" s="74"/>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ustomHeight="1">
      <c r="A21" s="74"/>
      <c r="B21" s="334"/>
      <c r="C21" s="334"/>
      <c r="D21" s="334"/>
      <c r="E21" s="335"/>
      <c r="F21" s="336"/>
      <c r="G21" s="58"/>
      <c r="H21" s="337"/>
      <c r="I21" s="337"/>
      <c r="J21" s="337"/>
      <c r="K21" s="337"/>
      <c r="L21" s="338"/>
      <c r="M21" s="339">
        <f>((E21-G21)*F21*L21*'household+building'!P$28/1000)</f>
        <v>0</v>
      </c>
      <c r="N21" s="339"/>
      <c r="O21" s="340">
        <f>M21*'household+building'!F$38</f>
        <v>0</v>
      </c>
      <c r="P21" s="340"/>
      <c r="Q21" s="340">
        <f t="shared" si="0"/>
        <v>0</v>
      </c>
      <c r="R21" s="340"/>
      <c r="S21" s="19"/>
      <c r="T21" s="198"/>
      <c r="U21" s="14"/>
      <c r="V21" s="14"/>
      <c r="W21"/>
      <c r="X21" s="5" t="s">
        <v>290</v>
      </c>
      <c r="Y21"/>
      <c r="Z21"/>
      <c r="AA21"/>
      <c r="AB21" s="79"/>
      <c r="AC21" s="74"/>
      <c r="AD21" s="74"/>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74"/>
      <c r="B22" s="334"/>
      <c r="C22" s="334"/>
      <c r="D22" s="334"/>
      <c r="E22" s="335"/>
      <c r="F22" s="336"/>
      <c r="G22" s="58"/>
      <c r="H22" s="337"/>
      <c r="I22" s="337"/>
      <c r="J22" s="337"/>
      <c r="K22" s="337"/>
      <c r="L22" s="338"/>
      <c r="M22" s="339">
        <f>((E22-G22)*F22*L22*'household+building'!P$28/1000)</f>
        <v>0</v>
      </c>
      <c r="N22" s="339"/>
      <c r="O22" s="340">
        <f>M22*'household+building'!F$38</f>
        <v>0</v>
      </c>
      <c r="P22" s="340"/>
      <c r="Q22" s="340">
        <f t="shared" si="0"/>
        <v>0</v>
      </c>
      <c r="R22" s="340"/>
      <c r="S22" s="19"/>
      <c r="T22" s="198"/>
      <c r="U22" s="14"/>
      <c r="V22" s="14"/>
      <c r="W22"/>
      <c r="X22" s="5" t="s">
        <v>291</v>
      </c>
      <c r="Y22"/>
      <c r="Z22"/>
      <c r="AA22"/>
      <c r="AB22" s="79"/>
      <c r="AC22" s="74"/>
      <c r="AD22" s="74"/>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ustomHeight="1">
      <c r="A23" s="74"/>
      <c r="B23" s="334"/>
      <c r="C23" s="334"/>
      <c r="D23" s="334"/>
      <c r="E23" s="335"/>
      <c r="F23" s="336"/>
      <c r="G23" s="58"/>
      <c r="H23" s="337"/>
      <c r="I23" s="337"/>
      <c r="J23" s="337"/>
      <c r="K23" s="337"/>
      <c r="L23" s="338"/>
      <c r="M23" s="339">
        <f>((E23-G23)*F23*L23*'household+building'!P$28/1000)</f>
        <v>0</v>
      </c>
      <c r="N23" s="339"/>
      <c r="O23" s="340">
        <f>M23*'household+building'!F$38</f>
        <v>0</v>
      </c>
      <c r="P23" s="340"/>
      <c r="Q23" s="340">
        <f t="shared" si="0"/>
        <v>0</v>
      </c>
      <c r="R23" s="340"/>
      <c r="S23" s="19"/>
      <c r="T23" s="198"/>
      <c r="U23" s="14"/>
      <c r="V23" s="14"/>
      <c r="W23"/>
      <c r="X23" s="5" t="s">
        <v>292</v>
      </c>
      <c r="Y23"/>
      <c r="Z23"/>
      <c r="AA23"/>
      <c r="AB23" s="79"/>
      <c r="AC23" s="74"/>
      <c r="AD23" s="74"/>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s="74"/>
      <c r="B24" s="334"/>
      <c r="C24" s="334"/>
      <c r="D24" s="334"/>
      <c r="E24" s="335"/>
      <c r="F24" s="336"/>
      <c r="G24" s="58"/>
      <c r="H24" s="337"/>
      <c r="I24" s="337"/>
      <c r="J24" s="337"/>
      <c r="K24" s="337"/>
      <c r="L24" s="338"/>
      <c r="M24" s="339">
        <f>((E24-G24)*F24*L24*'household+building'!P$28/1000)</f>
        <v>0</v>
      </c>
      <c r="N24" s="339"/>
      <c r="O24" s="340">
        <f>M24*'household+building'!F$38</f>
        <v>0</v>
      </c>
      <c r="P24" s="340"/>
      <c r="Q24" s="340">
        <f t="shared" si="0"/>
        <v>0</v>
      </c>
      <c r="R24" s="340"/>
      <c r="S24" s="19"/>
      <c r="T24" s="198"/>
      <c r="U24" s="14"/>
      <c r="V24" s="14"/>
      <c r="W24"/>
      <c r="Y24"/>
      <c r="Z24"/>
      <c r="AA24"/>
      <c r="AB24" s="79"/>
      <c r="AC24" s="74"/>
      <c r="AD24" s="7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c r="A25" s="74"/>
      <c r="B25" s="341" t="s">
        <v>293</v>
      </c>
      <c r="C25" s="9"/>
      <c r="D25" s="9"/>
      <c r="E25" s="9"/>
      <c r="F25" s="9"/>
      <c r="G25" s="9"/>
      <c r="H25" s="9"/>
      <c r="I25" s="9"/>
      <c r="J25" s="9"/>
      <c r="K25" s="342" t="s">
        <v>268</v>
      </c>
      <c r="L25" s="343">
        <f>SUM(L15:L24)</f>
        <v>0</v>
      </c>
      <c r="M25" s="344">
        <f>SUM(M15:M24)</f>
        <v>0</v>
      </c>
      <c r="N25" s="344"/>
      <c r="O25" s="345">
        <f>SUM(O15:P24)</f>
        <v>0</v>
      </c>
      <c r="P25" s="345"/>
      <c r="Q25" s="345">
        <f>SUM(Q15:R24)</f>
        <v>0</v>
      </c>
      <c r="R25" s="345"/>
      <c r="S25" s="19"/>
      <c r="T25" s="198"/>
      <c r="U25" s="14"/>
      <c r="V25" s="14"/>
      <c r="W25"/>
      <c r="X25"/>
      <c r="Y25"/>
      <c r="Z25"/>
      <c r="AA25"/>
      <c r="AB25" s="79"/>
      <c r="AC25" s="74"/>
      <c r="AD25" s="74"/>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hidden="1">
      <c r="A26" s="74"/>
      <c r="B26" s="346"/>
      <c r="C26" s="87"/>
      <c r="D26" s="87"/>
      <c r="E26" s="87"/>
      <c r="F26" s="87"/>
      <c r="G26" s="87"/>
      <c r="H26" s="87"/>
      <c r="I26" s="87"/>
      <c r="J26" s="87"/>
      <c r="K26" s="347"/>
      <c r="L26" s="198"/>
      <c r="M26" s="14"/>
      <c r="N26" s="198"/>
      <c r="O26" s="14"/>
      <c r="P26" s="198"/>
      <c r="Q26" s="14"/>
      <c r="R26" s="198"/>
      <c r="S26" s="19"/>
      <c r="T26" s="198"/>
      <c r="U26" s="14"/>
      <c r="V26" s="14"/>
      <c r="W26"/>
      <c r="X26"/>
      <c r="Y26"/>
      <c r="Z26"/>
      <c r="AA26"/>
      <c r="AB26" s="79"/>
      <c r="AC26" s="74"/>
      <c r="AD26" s="74"/>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ustomHeight="1" hidden="1">
      <c r="A27" s="74"/>
      <c r="B27" s="326" t="s">
        <v>256</v>
      </c>
      <c r="C27" s="326"/>
      <c r="D27" s="326"/>
      <c r="E27" s="328" t="s">
        <v>275</v>
      </c>
      <c r="F27" s="328" t="s">
        <v>276</v>
      </c>
      <c r="G27" s="328" t="s">
        <v>277</v>
      </c>
      <c r="H27" s="329" t="s">
        <v>294</v>
      </c>
      <c r="I27" s="329"/>
      <c r="J27" s="329"/>
      <c r="K27" s="329"/>
      <c r="L27" s="329"/>
      <c r="M27" s="330" t="s">
        <v>279</v>
      </c>
      <c r="N27" s="330"/>
      <c r="O27" s="330"/>
      <c r="P27" s="330"/>
      <c r="Q27" s="330" t="s">
        <v>280</v>
      </c>
      <c r="R27" s="330"/>
      <c r="S27" s="19"/>
      <c r="T27" s="198"/>
      <c r="U27" s="14"/>
      <c r="V27" s="14"/>
      <c r="W27"/>
      <c r="X27"/>
      <c r="Y27"/>
      <c r="Z27"/>
      <c r="AA27"/>
      <c r="AB27" s="79"/>
      <c r="AC27" s="74"/>
      <c r="AD27" s="74"/>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ustomHeight="1" hidden="1">
      <c r="A28" s="74"/>
      <c r="B28" s="326"/>
      <c r="C28" s="326"/>
      <c r="D28" s="326"/>
      <c r="E28" s="328"/>
      <c r="F28" s="328"/>
      <c r="G28" s="328"/>
      <c r="H28" s="329"/>
      <c r="I28" s="329"/>
      <c r="J28" s="329"/>
      <c r="K28" s="329"/>
      <c r="L28" s="329"/>
      <c r="M28" s="330" t="s">
        <v>155</v>
      </c>
      <c r="N28" s="330"/>
      <c r="O28" s="330" t="s">
        <v>282</v>
      </c>
      <c r="P28" s="330"/>
      <c r="Q28" s="330"/>
      <c r="R28" s="330"/>
      <c r="S28" s="19"/>
      <c r="T28" s="198"/>
      <c r="U28" s="14"/>
      <c r="V28" s="14"/>
      <c r="W28"/>
      <c r="X28"/>
      <c r="Y28"/>
      <c r="Z28"/>
      <c r="AA28"/>
      <c r="AB28" s="79"/>
      <c r="AC28" s="74"/>
      <c r="AD28" s="74"/>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ustomHeight="1" hidden="1">
      <c r="A29" s="74"/>
      <c r="B29" s="334"/>
      <c r="C29" s="334"/>
      <c r="D29" s="334"/>
      <c r="E29" s="335"/>
      <c r="F29" s="336"/>
      <c r="G29" s="58"/>
      <c r="H29" s="348"/>
      <c r="I29" s="348"/>
      <c r="J29" s="348"/>
      <c r="K29" s="348"/>
      <c r="L29" s="338"/>
      <c r="M29" s="339">
        <f>((E29-G29)*F29*L29*'household+building'!P$28/1000)</f>
        <v>0</v>
      </c>
      <c r="N29" s="339"/>
      <c r="O29" s="340">
        <f>M29*'household+building'!F$38</f>
        <v>0</v>
      </c>
      <c r="P29" s="340"/>
      <c r="Q29" s="340">
        <f aca="true" t="shared" si="1" ref="Q29:Q38">IF(H29=$Y$29,$Z$29,IF(H29=$Y$30,$Z$30,IF(H29=$Y$31,$Z$31,IF(H29=$Y$32,$Z$32,0))))*L29</f>
        <v>0</v>
      </c>
      <c r="R29" s="340"/>
      <c r="S29" s="19"/>
      <c r="T29" s="198"/>
      <c r="U29" s="14"/>
      <c r="V29" s="14"/>
      <c r="W29"/>
      <c r="X29"/>
      <c r="Y29" s="79">
        <f>'data devices+costs'!B13</f>
        <v>0</v>
      </c>
      <c r="Z29" s="332">
        <f>'data devices+costs'!D13</f>
        <v>0</v>
      </c>
      <c r="AA29"/>
      <c r="AB29" s="79"/>
      <c r="AC29" s="74"/>
      <c r="AD29" s="74"/>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ustomHeight="1" hidden="1">
      <c r="A30" s="74"/>
      <c r="B30" s="334"/>
      <c r="C30" s="334"/>
      <c r="D30" s="334"/>
      <c r="E30" s="335"/>
      <c r="F30" s="336"/>
      <c r="G30" s="58"/>
      <c r="H30" s="348"/>
      <c r="I30" s="348"/>
      <c r="J30" s="348"/>
      <c r="K30" s="348"/>
      <c r="L30" s="338"/>
      <c r="M30" s="339">
        <f>((E30-G30)*F30*L30*'household+building'!P$28/1000)</f>
        <v>0</v>
      </c>
      <c r="N30" s="339"/>
      <c r="O30" s="340">
        <f>M30*'household+building'!F$38</f>
        <v>0</v>
      </c>
      <c r="P30" s="340"/>
      <c r="Q30" s="340">
        <f t="shared" si="1"/>
        <v>0</v>
      </c>
      <c r="R30" s="340"/>
      <c r="S30" s="19"/>
      <c r="T30" s="198"/>
      <c r="U30" s="14"/>
      <c r="V30" s="14"/>
      <c r="W30"/>
      <c r="X30"/>
      <c r="Y30" s="79">
        <f>'data devices+costs'!B14</f>
        <v>0</v>
      </c>
      <c r="Z30" s="332">
        <f>'data devices+costs'!D14</f>
        <v>0</v>
      </c>
      <c r="AA30"/>
      <c r="AB30" s="79"/>
      <c r="AC30" s="74"/>
      <c r="AD30" s="74"/>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hidden="1">
      <c r="A31" s="74"/>
      <c r="B31" s="334"/>
      <c r="C31" s="334"/>
      <c r="D31" s="334"/>
      <c r="E31" s="335"/>
      <c r="F31" s="336"/>
      <c r="G31" s="58"/>
      <c r="H31" s="348"/>
      <c r="I31" s="348"/>
      <c r="J31" s="348"/>
      <c r="K31" s="348"/>
      <c r="L31" s="338"/>
      <c r="M31" s="339">
        <f>((E31-G31)*F31*L31*'household+building'!P$28/1000)</f>
        <v>0</v>
      </c>
      <c r="N31" s="339"/>
      <c r="O31" s="340">
        <f>M31*'household+building'!F$38</f>
        <v>0</v>
      </c>
      <c r="P31" s="340"/>
      <c r="Q31" s="340">
        <f t="shared" si="1"/>
        <v>0</v>
      </c>
      <c r="R31" s="340"/>
      <c r="S31" s="19"/>
      <c r="T31" s="198"/>
      <c r="U31" s="14"/>
      <c r="V31" s="14"/>
      <c r="W31"/>
      <c r="X31"/>
      <c r="Y31" s="79">
        <f>'data devices+costs'!B15</f>
        <v>0</v>
      </c>
      <c r="Z31" s="332">
        <f>'data devices+costs'!D15</f>
        <v>0</v>
      </c>
      <c r="AA31"/>
      <c r="AB31" s="79"/>
      <c r="AC31" s="74"/>
      <c r="AD31" s="74"/>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ustomHeight="1" hidden="1">
      <c r="A32" s="74"/>
      <c r="B32" s="334"/>
      <c r="C32" s="334"/>
      <c r="D32" s="334"/>
      <c r="E32" s="335"/>
      <c r="F32" s="336"/>
      <c r="G32" s="58"/>
      <c r="H32" s="348"/>
      <c r="I32" s="348"/>
      <c r="J32" s="348"/>
      <c r="K32" s="348"/>
      <c r="L32" s="338"/>
      <c r="M32" s="339">
        <f>((E32-G32)*F32*L32*'household+building'!P$28/1000)</f>
        <v>0</v>
      </c>
      <c r="N32" s="339"/>
      <c r="O32" s="340">
        <f>M32*'household+building'!F$38</f>
        <v>0</v>
      </c>
      <c r="P32" s="340"/>
      <c r="Q32" s="340">
        <f t="shared" si="1"/>
        <v>0</v>
      </c>
      <c r="R32" s="340"/>
      <c r="S32" s="19"/>
      <c r="T32" s="198"/>
      <c r="U32" s="14"/>
      <c r="V32" s="14"/>
      <c r="W32"/>
      <c r="X32"/>
      <c r="Y32" s="79">
        <f>'data devices+costs'!B16</f>
        <v>0</v>
      </c>
      <c r="Z32" s="332">
        <f>'data devices+costs'!D16</f>
        <v>0</v>
      </c>
      <c r="AA32"/>
      <c r="AB32" s="79"/>
      <c r="AC32" s="74"/>
      <c r="AD32" s="74"/>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ustomHeight="1" hidden="1">
      <c r="A33" s="74"/>
      <c r="B33" s="334"/>
      <c r="C33" s="334"/>
      <c r="D33" s="334"/>
      <c r="E33" s="335"/>
      <c r="F33" s="336"/>
      <c r="G33" s="58"/>
      <c r="H33" s="348"/>
      <c r="I33" s="348"/>
      <c r="J33" s="348"/>
      <c r="K33" s="348"/>
      <c r="L33" s="338"/>
      <c r="M33" s="339">
        <f>((E33-G33)*F33*L33*'household+building'!P$28/1000)</f>
        <v>0</v>
      </c>
      <c r="N33" s="339"/>
      <c r="O33" s="340">
        <f>M33*'household+building'!F$38</f>
        <v>0</v>
      </c>
      <c r="P33" s="340"/>
      <c r="Q33" s="340">
        <f t="shared" si="1"/>
        <v>0</v>
      </c>
      <c r="R33" s="340"/>
      <c r="S33" s="19"/>
      <c r="T33" s="198"/>
      <c r="U33" s="14"/>
      <c r="V33" s="14"/>
      <c r="W33"/>
      <c r="X33"/>
      <c r="Y33"/>
      <c r="Z33"/>
      <c r="AA33"/>
      <c r="AB33" s="79"/>
      <c r="AC33" s="74"/>
      <c r="AD33" s="74"/>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hidden="1">
      <c r="A34" s="74"/>
      <c r="B34" s="334"/>
      <c r="C34" s="334"/>
      <c r="D34" s="334"/>
      <c r="E34" s="335"/>
      <c r="F34" s="336"/>
      <c r="G34" s="58"/>
      <c r="H34" s="348"/>
      <c r="I34" s="348"/>
      <c r="J34" s="348"/>
      <c r="K34" s="348"/>
      <c r="L34" s="338"/>
      <c r="M34" s="339">
        <f>((E34-G34)*F34*L34*'household+building'!P$28/1000)</f>
        <v>0</v>
      </c>
      <c r="N34" s="339"/>
      <c r="O34" s="340">
        <f>M34*'household+building'!F$38</f>
        <v>0</v>
      </c>
      <c r="P34" s="340"/>
      <c r="Q34" s="340">
        <f t="shared" si="1"/>
        <v>0</v>
      </c>
      <c r="R34" s="340"/>
      <c r="S34" s="19"/>
      <c r="T34" s="198"/>
      <c r="U34" s="14"/>
      <c r="V34" s="14"/>
      <c r="W34"/>
      <c r="X34"/>
      <c r="Y34"/>
      <c r="Z34"/>
      <c r="AA34"/>
      <c r="AB34" s="79"/>
      <c r="AC34" s="74"/>
      <c r="AD34" s="7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hidden="1">
      <c r="A35" s="74"/>
      <c r="B35" s="334"/>
      <c r="C35" s="334"/>
      <c r="D35" s="334"/>
      <c r="E35" s="335"/>
      <c r="F35" s="336"/>
      <c r="G35" s="58"/>
      <c r="H35" s="348"/>
      <c r="I35" s="348"/>
      <c r="J35" s="348"/>
      <c r="K35" s="348"/>
      <c r="L35" s="338"/>
      <c r="M35" s="339">
        <f>((E35-G35)*F35*L35*'household+building'!P$28/1000)</f>
        <v>0</v>
      </c>
      <c r="N35" s="339"/>
      <c r="O35" s="340">
        <f>M35*'household+building'!F$38</f>
        <v>0</v>
      </c>
      <c r="P35" s="340"/>
      <c r="Q35" s="340">
        <f t="shared" si="1"/>
        <v>0</v>
      </c>
      <c r="R35" s="340"/>
      <c r="S35" s="19"/>
      <c r="T35" s="198"/>
      <c r="U35" s="14"/>
      <c r="V35" s="14"/>
      <c r="W35"/>
      <c r="X35"/>
      <c r="Y35"/>
      <c r="Z35"/>
      <c r="AA35"/>
      <c r="AB35" s="79"/>
      <c r="AC35" s="74"/>
      <c r="AD35" s="74"/>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ustomHeight="1" hidden="1">
      <c r="A36" s="74"/>
      <c r="B36" s="334"/>
      <c r="C36" s="334"/>
      <c r="D36" s="334"/>
      <c r="E36" s="335"/>
      <c r="F36" s="336"/>
      <c r="G36" s="58"/>
      <c r="H36" s="348"/>
      <c r="I36" s="348"/>
      <c r="J36" s="348"/>
      <c r="K36" s="348"/>
      <c r="L36" s="338"/>
      <c r="M36" s="339">
        <f>((E36-G36)*F36*L36*'household+building'!P$28/1000)</f>
        <v>0</v>
      </c>
      <c r="N36" s="339"/>
      <c r="O36" s="340">
        <f>M36*'household+building'!F$38</f>
        <v>0</v>
      </c>
      <c r="P36" s="340"/>
      <c r="Q36" s="340">
        <f t="shared" si="1"/>
        <v>0</v>
      </c>
      <c r="R36" s="340"/>
      <c r="S36" s="19"/>
      <c r="T36" s="198"/>
      <c r="U36" s="14"/>
      <c r="V36" s="14"/>
      <c r="W36"/>
      <c r="X36"/>
      <c r="Y36"/>
      <c r="Z36"/>
      <c r="AA36"/>
      <c r="AB36" s="79"/>
      <c r="AC36" s="74"/>
      <c r="AD36" s="74"/>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 customHeight="1" hidden="1">
      <c r="A37" s="74"/>
      <c r="B37" s="334"/>
      <c r="C37" s="334"/>
      <c r="D37" s="334"/>
      <c r="E37" s="335"/>
      <c r="F37" s="336"/>
      <c r="G37" s="58"/>
      <c r="H37" s="348"/>
      <c r="I37" s="348"/>
      <c r="J37" s="348"/>
      <c r="K37" s="348"/>
      <c r="L37" s="338"/>
      <c r="M37" s="339">
        <f>((E37-G37)*F37*L37*'household+building'!P$28/1000)</f>
        <v>0</v>
      </c>
      <c r="N37" s="339"/>
      <c r="O37" s="340">
        <f>M37*'household+building'!F$38</f>
        <v>0</v>
      </c>
      <c r="P37" s="340"/>
      <c r="Q37" s="340">
        <f t="shared" si="1"/>
        <v>0</v>
      </c>
      <c r="R37" s="340"/>
      <c r="S37" s="19"/>
      <c r="T37" s="198"/>
      <c r="U37" s="14"/>
      <c r="V37" s="14"/>
      <c r="W37"/>
      <c r="X37"/>
      <c r="Y37"/>
      <c r="Z37"/>
      <c r="AA37"/>
      <c r="AB37" s="79"/>
      <c r="AC37" s="74"/>
      <c r="AD37" s="74"/>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hidden="1">
      <c r="A38" s="74"/>
      <c r="B38" s="334"/>
      <c r="C38" s="334"/>
      <c r="D38" s="334"/>
      <c r="E38" s="335"/>
      <c r="F38" s="336"/>
      <c r="G38" s="58"/>
      <c r="H38" s="348"/>
      <c r="I38" s="348"/>
      <c r="J38" s="348"/>
      <c r="K38" s="348"/>
      <c r="L38" s="338"/>
      <c r="M38" s="339">
        <f>((E38-G38)*F38*L38*'household+building'!P$28/1000)</f>
        <v>0</v>
      </c>
      <c r="N38" s="339"/>
      <c r="O38" s="340">
        <f>M38*'household+building'!F$38</f>
        <v>0</v>
      </c>
      <c r="P38" s="340"/>
      <c r="Q38" s="340">
        <f t="shared" si="1"/>
        <v>0</v>
      </c>
      <c r="R38" s="340"/>
      <c r="S38" s="19"/>
      <c r="T38" s="198"/>
      <c r="U38" s="14"/>
      <c r="V38" s="14"/>
      <c r="W38"/>
      <c r="X38"/>
      <c r="Y38"/>
      <c r="Z38"/>
      <c r="AA38"/>
      <c r="AB38" s="79"/>
      <c r="AC38" s="74"/>
      <c r="AD38" s="74"/>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hidden="1">
      <c r="A39" s="74"/>
      <c r="B39" s="341" t="s">
        <v>293</v>
      </c>
      <c r="C39" s="9"/>
      <c r="D39" s="9"/>
      <c r="E39" s="9"/>
      <c r="F39" s="9"/>
      <c r="G39" s="9"/>
      <c r="H39" s="9"/>
      <c r="I39" s="9"/>
      <c r="J39" s="9"/>
      <c r="K39" s="342" t="s">
        <v>268</v>
      </c>
      <c r="L39" s="343">
        <f>SUM(L29:L38)</f>
        <v>0</v>
      </c>
      <c r="M39" s="344">
        <f>SUM(M29:M38)</f>
        <v>0</v>
      </c>
      <c r="N39" s="344"/>
      <c r="O39" s="345">
        <f>SUM(O29:P38)</f>
        <v>0</v>
      </c>
      <c r="P39" s="345"/>
      <c r="Q39" s="345">
        <f>SUM(Q29:R38)</f>
        <v>0</v>
      </c>
      <c r="R39" s="345"/>
      <c r="S39" s="19"/>
      <c r="T39" s="198"/>
      <c r="U39" s="14"/>
      <c r="V39" s="14"/>
      <c r="W39"/>
      <c r="X39"/>
      <c r="Y39"/>
      <c r="Z39"/>
      <c r="AA39"/>
      <c r="AB39" s="79"/>
      <c r="AC39" s="74"/>
      <c r="AD39" s="74"/>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ustomHeight="1" hidden="1">
      <c r="A40" s="74"/>
      <c r="B40" s="349"/>
      <c r="C40" s="349"/>
      <c r="D40" s="349"/>
      <c r="E40" s="349"/>
      <c r="F40" s="349"/>
      <c r="G40" s="349"/>
      <c r="H40" s="349"/>
      <c r="I40" s="349"/>
      <c r="J40" s="349"/>
      <c r="K40" s="349"/>
      <c r="L40" s="350"/>
      <c r="M40" s="350"/>
      <c r="N40" s="351"/>
      <c r="O40"/>
      <c r="P40" s="352"/>
      <c r="Q40"/>
      <c r="R40"/>
      <c r="S40" s="19"/>
      <c r="T40" s="198"/>
      <c r="U40" s="14"/>
      <c r="V40" s="14"/>
      <c r="W40"/>
      <c r="X40"/>
      <c r="Y40"/>
      <c r="Z40"/>
      <c r="AA40"/>
      <c r="AB40" s="79"/>
      <c r="AC40" s="74"/>
      <c r="AD40" s="74"/>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ustomHeight="1" hidden="1">
      <c r="A41" s="74"/>
      <c r="B41" s="326" t="s">
        <v>256</v>
      </c>
      <c r="C41" s="326"/>
      <c r="D41" s="326"/>
      <c r="E41" s="328" t="s">
        <v>275</v>
      </c>
      <c r="F41" s="328" t="s">
        <v>276</v>
      </c>
      <c r="G41" s="328" t="s">
        <v>277</v>
      </c>
      <c r="H41" s="353" t="s">
        <v>295</v>
      </c>
      <c r="I41" s="353"/>
      <c r="J41" s="353"/>
      <c r="K41" s="353"/>
      <c r="L41" s="353"/>
      <c r="M41" s="330" t="s">
        <v>279</v>
      </c>
      <c r="N41" s="330"/>
      <c r="O41" s="330"/>
      <c r="P41" s="330"/>
      <c r="Q41" s="330" t="s">
        <v>280</v>
      </c>
      <c r="R41" s="330"/>
      <c r="S41" s="19"/>
      <c r="T41" s="198"/>
      <c r="U41" s="14"/>
      <c r="V41" s="14"/>
      <c r="W41"/>
      <c r="X41"/>
      <c r="Y41" s="79"/>
      <c r="Z41" s="332"/>
      <c r="AA41"/>
      <c r="AB41" s="79"/>
      <c r="AC41" s="74"/>
      <c r="AD41" s="74"/>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ustomHeight="1" hidden="1">
      <c r="A42" s="74"/>
      <c r="B42" s="326"/>
      <c r="C42" s="326"/>
      <c r="D42" s="326"/>
      <c r="E42" s="328"/>
      <c r="F42" s="328"/>
      <c r="G42" s="328"/>
      <c r="H42" s="353"/>
      <c r="I42" s="353"/>
      <c r="J42" s="353"/>
      <c r="K42" s="353"/>
      <c r="L42" s="353"/>
      <c r="M42" s="330" t="s">
        <v>155</v>
      </c>
      <c r="N42" s="330"/>
      <c r="O42" s="330" t="s">
        <v>282</v>
      </c>
      <c r="P42" s="330"/>
      <c r="Q42" s="330"/>
      <c r="R42" s="330"/>
      <c r="S42" s="19"/>
      <c r="T42" s="198"/>
      <c r="U42" s="14"/>
      <c r="V42" s="14"/>
      <c r="W42"/>
      <c r="X42"/>
      <c r="Y42" s="79">
        <f>'data devices+costs'!B18</f>
        <v>0</v>
      </c>
      <c r="Z42" s="332">
        <f>'data devices+costs'!D18</f>
        <v>0</v>
      </c>
      <c r="AA42"/>
      <c r="AB42" s="79"/>
      <c r="AC42" s="74"/>
      <c r="AD42" s="74"/>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ustomHeight="1" hidden="1">
      <c r="A43" s="74"/>
      <c r="B43" s="334"/>
      <c r="C43" s="334"/>
      <c r="D43" s="334"/>
      <c r="E43" s="335"/>
      <c r="F43" s="336"/>
      <c r="G43" s="58"/>
      <c r="H43" s="348"/>
      <c r="I43" s="348"/>
      <c r="J43" s="348"/>
      <c r="K43" s="348"/>
      <c r="L43" s="338"/>
      <c r="M43" s="339">
        <f>((E43-G43)*L43*F43*'household+building'!P$28/1000)</f>
        <v>0</v>
      </c>
      <c r="N43" s="339"/>
      <c r="O43" s="340">
        <f>M43*'household+building'!F$38</f>
        <v>0</v>
      </c>
      <c r="P43" s="340"/>
      <c r="Q43" s="340">
        <f aca="true" t="shared" si="2" ref="Q43:Q52">IF(H43=$Y$42,$Z$42,IF(H43=$Y$43,$Z$43,IF(H43=$Y$44,$Z$44,IF(H43=$Y$45,$Z$45,IF(H43=$Y$46,$Z$46,IF(H43=$Y$41,0,0))))))*L43</f>
        <v>0</v>
      </c>
      <c r="R43" s="340"/>
      <c r="S43" s="19"/>
      <c r="T43" s="198"/>
      <c r="U43" s="14"/>
      <c r="V43" s="14"/>
      <c r="W43"/>
      <c r="X43"/>
      <c r="Y43" s="79">
        <f>'data devices+costs'!B19</f>
        <v>0</v>
      </c>
      <c r="Z43" s="332">
        <f>'data devices+costs'!D19</f>
        <v>0</v>
      </c>
      <c r="AA43"/>
      <c r="AB43" s="79"/>
      <c r="AC43" s="74"/>
      <c r="AD43" s="74"/>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hidden="1">
      <c r="A44" s="74"/>
      <c r="B44" s="334"/>
      <c r="C44" s="334"/>
      <c r="D44" s="334"/>
      <c r="E44" s="335"/>
      <c r="F44" s="336"/>
      <c r="G44" s="58"/>
      <c r="H44" s="348"/>
      <c r="I44" s="348"/>
      <c r="J44" s="348"/>
      <c r="K44" s="348"/>
      <c r="L44" s="338"/>
      <c r="M44" s="339">
        <f>((E44-G44)*L44*F44*'household+building'!P$28/1000)</f>
        <v>0</v>
      </c>
      <c r="N44" s="339"/>
      <c r="O44" s="340">
        <f>M44*'household+building'!F$38</f>
        <v>0</v>
      </c>
      <c r="P44" s="340"/>
      <c r="Q44" s="340">
        <f t="shared" si="2"/>
        <v>0</v>
      </c>
      <c r="R44" s="340"/>
      <c r="S44" s="19"/>
      <c r="T44" s="198"/>
      <c r="U44" s="14"/>
      <c r="V44" s="14"/>
      <c r="W44"/>
      <c r="X44"/>
      <c r="Y44" s="79">
        <f>'data devices+costs'!B20</f>
        <v>0</v>
      </c>
      <c r="Z44" s="332">
        <f>'data devices+costs'!D20</f>
        <v>0</v>
      </c>
      <c r="AA44"/>
      <c r="AB44" s="79"/>
      <c r="AC44" s="74"/>
      <c r="AD44" s="7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hidden="1">
      <c r="A45" s="74"/>
      <c r="B45" s="334"/>
      <c r="C45" s="334"/>
      <c r="D45" s="334"/>
      <c r="E45" s="335"/>
      <c r="F45" s="336"/>
      <c r="G45" s="58"/>
      <c r="H45" s="348"/>
      <c r="I45" s="348"/>
      <c r="J45" s="348"/>
      <c r="K45" s="348"/>
      <c r="L45" s="338"/>
      <c r="M45" s="339">
        <f>((E45-G45)*L45*F45*'household+building'!P$28/1000)</f>
        <v>0</v>
      </c>
      <c r="N45" s="339"/>
      <c r="O45" s="340">
        <f>M45*'household+building'!F$38</f>
        <v>0</v>
      </c>
      <c r="P45" s="340"/>
      <c r="Q45" s="340">
        <f t="shared" si="2"/>
        <v>0</v>
      </c>
      <c r="R45" s="340"/>
      <c r="S45" s="19"/>
      <c r="T45" s="198"/>
      <c r="U45" s="14"/>
      <c r="V45" s="14"/>
      <c r="W45"/>
      <c r="X45"/>
      <c r="Y45" s="79">
        <f>'data devices+costs'!B21</f>
        <v>0</v>
      </c>
      <c r="Z45" s="332">
        <f>'data devices+costs'!D21</f>
        <v>0</v>
      </c>
      <c r="AA45"/>
      <c r="AB45" s="79"/>
      <c r="AC45" s="74"/>
      <c r="AD45" s="74"/>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ustomHeight="1" hidden="1">
      <c r="A46" s="74"/>
      <c r="B46" s="334"/>
      <c r="C46" s="334"/>
      <c r="D46" s="334"/>
      <c r="E46" s="335"/>
      <c r="F46" s="336"/>
      <c r="G46" s="58"/>
      <c r="H46" s="348"/>
      <c r="I46" s="348"/>
      <c r="J46" s="348"/>
      <c r="K46" s="348"/>
      <c r="L46" s="338"/>
      <c r="M46" s="339">
        <f>((E46-G46)*L46*F46*'household+building'!P$28/1000)</f>
        <v>0</v>
      </c>
      <c r="N46" s="339"/>
      <c r="O46" s="340">
        <f>M46*'household+building'!F$38</f>
        <v>0</v>
      </c>
      <c r="P46" s="340"/>
      <c r="Q46" s="340">
        <f t="shared" si="2"/>
        <v>0</v>
      </c>
      <c r="R46" s="340"/>
      <c r="S46" s="19"/>
      <c r="T46" s="198"/>
      <c r="U46" s="14"/>
      <c r="V46" s="14"/>
      <c r="W46"/>
      <c r="X46"/>
      <c r="Y46" s="79">
        <f>'data devices+costs'!B22</f>
        <v>0</v>
      </c>
      <c r="Z46" s="332">
        <f>'data devices+costs'!D22</f>
        <v>0</v>
      </c>
      <c r="AA46"/>
      <c r="AB46" s="79"/>
      <c r="AC46" s="74"/>
      <c r="AD46" s="74"/>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hidden="1">
      <c r="A47" s="74"/>
      <c r="B47" s="334"/>
      <c r="C47" s="334"/>
      <c r="D47" s="334"/>
      <c r="E47" s="335"/>
      <c r="F47" s="336"/>
      <c r="G47" s="58"/>
      <c r="H47" s="348"/>
      <c r="I47" s="348"/>
      <c r="J47" s="348"/>
      <c r="K47" s="348"/>
      <c r="L47" s="338"/>
      <c r="M47" s="339">
        <f>((E47-G47)*L47*F47*'household+building'!P$28/1000)</f>
        <v>0</v>
      </c>
      <c r="N47" s="339"/>
      <c r="O47" s="340">
        <f>M47*'household+building'!F$38</f>
        <v>0</v>
      </c>
      <c r="P47" s="340"/>
      <c r="Q47" s="340">
        <f t="shared" si="2"/>
        <v>0</v>
      </c>
      <c r="R47" s="340"/>
      <c r="S47" s="19"/>
      <c r="T47" s="198"/>
      <c r="U47" s="14"/>
      <c r="V47" s="14"/>
      <c r="W47"/>
      <c r="X47"/>
      <c r="Y47" s="5"/>
      <c r="Z47"/>
      <c r="AA47"/>
      <c r="AB47" s="79"/>
      <c r="AC47" s="74"/>
      <c r="AD47" s="74"/>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ustomHeight="1" hidden="1">
      <c r="A48" s="74"/>
      <c r="B48" s="334"/>
      <c r="C48" s="334"/>
      <c r="D48" s="334"/>
      <c r="E48" s="335"/>
      <c r="F48" s="336"/>
      <c r="G48" s="58"/>
      <c r="H48" s="348"/>
      <c r="I48" s="348"/>
      <c r="J48" s="348"/>
      <c r="K48" s="348"/>
      <c r="L48" s="338"/>
      <c r="M48" s="339">
        <f>((E48-G48)*L48*F48*'household+building'!P$28/1000)</f>
        <v>0</v>
      </c>
      <c r="N48" s="339"/>
      <c r="O48" s="340">
        <f>M48*'household+building'!F$38</f>
        <v>0</v>
      </c>
      <c r="P48" s="340"/>
      <c r="Q48" s="340">
        <f t="shared" si="2"/>
        <v>0</v>
      </c>
      <c r="R48" s="340"/>
      <c r="S48" s="19"/>
      <c r="T48" s="198"/>
      <c r="U48" s="14"/>
      <c r="V48" s="14"/>
      <c r="W48"/>
      <c r="X48"/>
      <c r="Y48" s="5"/>
      <c r="Z48"/>
      <c r="AA48"/>
      <c r="AB48" s="79"/>
      <c r="AC48" s="74"/>
      <c r="AD48" s="74"/>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hidden="1">
      <c r="A49" s="74"/>
      <c r="B49" s="334"/>
      <c r="C49" s="334"/>
      <c r="D49" s="334"/>
      <c r="E49" s="335"/>
      <c r="F49" s="336"/>
      <c r="G49" s="58"/>
      <c r="H49" s="348"/>
      <c r="I49" s="348"/>
      <c r="J49" s="348"/>
      <c r="K49" s="348"/>
      <c r="L49" s="338"/>
      <c r="M49" s="339">
        <f>((E49-G49)*L49*F49*'household+building'!P$28/1000)</f>
        <v>0</v>
      </c>
      <c r="N49" s="339"/>
      <c r="O49" s="340">
        <f>M49*'household+building'!F$38</f>
        <v>0</v>
      </c>
      <c r="P49" s="340"/>
      <c r="Q49" s="340">
        <f t="shared" si="2"/>
        <v>0</v>
      </c>
      <c r="R49" s="340"/>
      <c r="S49" s="19"/>
      <c r="T49" s="198"/>
      <c r="U49" s="14"/>
      <c r="V49" s="14"/>
      <c r="W49"/>
      <c r="X49"/>
      <c r="Y49" s="5"/>
      <c r="Z49"/>
      <c r="AA49"/>
      <c r="AB49" s="79"/>
      <c r="AC49" s="74"/>
      <c r="AD49" s="74"/>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ustomHeight="1" hidden="1">
      <c r="A50" s="74"/>
      <c r="B50" s="334"/>
      <c r="C50" s="334"/>
      <c r="D50" s="334"/>
      <c r="E50" s="335"/>
      <c r="F50" s="336"/>
      <c r="G50" s="58"/>
      <c r="H50" s="348"/>
      <c r="I50" s="348"/>
      <c r="J50" s="348"/>
      <c r="K50" s="348"/>
      <c r="L50" s="338"/>
      <c r="M50" s="339">
        <f>((E50-G50)*L50*F50*'household+building'!P$28/1000)</f>
        <v>0</v>
      </c>
      <c r="N50" s="339"/>
      <c r="O50" s="340">
        <f>M50*'household+building'!F$38</f>
        <v>0</v>
      </c>
      <c r="P50" s="340"/>
      <c r="Q50" s="340">
        <f t="shared" si="2"/>
        <v>0</v>
      </c>
      <c r="R50" s="340"/>
      <c r="S50" s="19"/>
      <c r="T50" s="198"/>
      <c r="U50" s="14"/>
      <c r="V50" s="14"/>
      <c r="W50"/>
      <c r="X50"/>
      <c r="Y50" s="5"/>
      <c r="Z50"/>
      <c r="AA50"/>
      <c r="AB50" s="79"/>
      <c r="AC50" s="74"/>
      <c r="AD50" s="74"/>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ustomHeight="1" hidden="1">
      <c r="A51" s="74"/>
      <c r="B51" s="334"/>
      <c r="C51" s="334"/>
      <c r="D51" s="334"/>
      <c r="E51" s="335"/>
      <c r="F51" s="336"/>
      <c r="G51" s="58"/>
      <c r="H51" s="348"/>
      <c r="I51" s="348"/>
      <c r="J51" s="348"/>
      <c r="K51" s="348"/>
      <c r="L51" s="338"/>
      <c r="M51" s="339">
        <f>((E51-G51)*L51*F51*'household+building'!P$28/1000)</f>
        <v>0</v>
      </c>
      <c r="N51" s="339"/>
      <c r="O51" s="340">
        <f>M51*'household+building'!F$38</f>
        <v>0</v>
      </c>
      <c r="P51" s="340"/>
      <c r="Q51" s="340">
        <f t="shared" si="2"/>
        <v>0</v>
      </c>
      <c r="R51" s="340"/>
      <c r="S51" s="19"/>
      <c r="T51" s="198"/>
      <c r="U51" s="14"/>
      <c r="V51" s="14"/>
      <c r="W51"/>
      <c r="X51"/>
      <c r="Y51" s="5"/>
      <c r="Z51"/>
      <c r="AA51"/>
      <c r="AB51" s="79"/>
      <c r="AC51" s="74"/>
      <c r="AD51" s="74"/>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5" customHeight="1" hidden="1">
      <c r="A52" s="74"/>
      <c r="B52" s="354"/>
      <c r="C52" s="354"/>
      <c r="D52" s="354"/>
      <c r="E52" s="355"/>
      <c r="F52" s="356"/>
      <c r="G52" s="357"/>
      <c r="H52" s="348"/>
      <c r="I52" s="348"/>
      <c r="J52" s="348"/>
      <c r="K52" s="348"/>
      <c r="L52" s="338"/>
      <c r="M52" s="339">
        <f>((E52-G52)*L52*F52*'household+building'!P$28/1000)</f>
        <v>0</v>
      </c>
      <c r="N52" s="339"/>
      <c r="O52" s="340">
        <f>M52*'household+building'!F$38</f>
        <v>0</v>
      </c>
      <c r="P52" s="340"/>
      <c r="Q52" s="340">
        <f t="shared" si="2"/>
        <v>0</v>
      </c>
      <c r="R52" s="340"/>
      <c r="S52" s="19"/>
      <c r="T52" s="198"/>
      <c r="U52" s="14"/>
      <c r="V52" s="14"/>
      <c r="W52"/>
      <c r="X52"/>
      <c r="Y52" s="5"/>
      <c r="Z52"/>
      <c r="AA52"/>
      <c r="AB52" s="79"/>
      <c r="AC52" s="74"/>
      <c r="AD52" s="74"/>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 customHeight="1" hidden="1">
      <c r="A53" s="74"/>
      <c r="B53" s="341" t="s">
        <v>293</v>
      </c>
      <c r="C53" s="9"/>
      <c r="D53" s="9"/>
      <c r="E53" s="9"/>
      <c r="F53" s="9"/>
      <c r="G53" s="9"/>
      <c r="H53" s="9"/>
      <c r="I53" s="9"/>
      <c r="J53" s="9"/>
      <c r="K53" s="358" t="s">
        <v>268</v>
      </c>
      <c r="L53" s="359">
        <f>SUM(L43:L52)</f>
        <v>0</v>
      </c>
      <c r="M53" s="344">
        <f>SUM(M43:M52)</f>
        <v>0</v>
      </c>
      <c r="N53" s="344"/>
      <c r="O53" s="345">
        <f>SUM(O43:P52)</f>
        <v>0</v>
      </c>
      <c r="P53" s="345"/>
      <c r="Q53" s="345">
        <f>SUM(Q43:R52)</f>
        <v>0</v>
      </c>
      <c r="R53" s="345"/>
      <c r="S53" s="19"/>
      <c r="T53" s="198"/>
      <c r="U53" s="14"/>
      <c r="V53" s="14"/>
      <c r="W53"/>
      <c r="X53"/>
      <c r="Y53" s="5"/>
      <c r="Z53"/>
      <c r="AA53"/>
      <c r="AB53" s="79"/>
      <c r="AC53" s="74"/>
      <c r="AD53" s="74"/>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5" customHeight="1" hidden="1">
      <c r="A54" s="74"/>
      <c r="B54" s="349"/>
      <c r="C54" s="349"/>
      <c r="D54" s="349"/>
      <c r="E54" s="349"/>
      <c r="F54" s="349"/>
      <c r="G54" s="349"/>
      <c r="H54" s="349"/>
      <c r="I54" s="349"/>
      <c r="J54" s="349"/>
      <c r="K54" s="349"/>
      <c r="L54" s="350"/>
      <c r="M54" s="350"/>
      <c r="N54" s="351"/>
      <c r="O54"/>
      <c r="P54" s="352"/>
      <c r="Q54"/>
      <c r="R54"/>
      <c r="S54" s="19"/>
      <c r="T54" s="198"/>
      <c r="U54" s="14"/>
      <c r="V54" s="14"/>
      <c r="W54"/>
      <c r="X54"/>
      <c r="Y54" s="5"/>
      <c r="Z54"/>
      <c r="AA54"/>
      <c r="AB54" s="79"/>
      <c r="AC54" s="74"/>
      <c r="AD54" s="7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5" customHeight="1" hidden="1">
      <c r="A55" s="74"/>
      <c r="B55" s="326" t="s">
        <v>256</v>
      </c>
      <c r="C55" s="326"/>
      <c r="D55" s="326"/>
      <c r="E55" s="328" t="s">
        <v>275</v>
      </c>
      <c r="F55" s="328" t="s">
        <v>276</v>
      </c>
      <c r="G55" s="328" t="s">
        <v>277</v>
      </c>
      <c r="H55" s="353" t="s">
        <v>296</v>
      </c>
      <c r="I55" s="353"/>
      <c r="J55" s="353"/>
      <c r="K55" s="353"/>
      <c r="L55" s="353"/>
      <c r="M55" s="330" t="s">
        <v>279</v>
      </c>
      <c r="N55" s="330"/>
      <c r="O55" s="330"/>
      <c r="P55" s="330"/>
      <c r="Q55" s="330" t="s">
        <v>280</v>
      </c>
      <c r="R55" s="330"/>
      <c r="S55" s="19"/>
      <c r="T55" s="198"/>
      <c r="U55" s="14"/>
      <c r="V55" s="14"/>
      <c r="W55"/>
      <c r="X55"/>
      <c r="Y55" s="5"/>
      <c r="Z55"/>
      <c r="AA55"/>
      <c r="AB55" s="79"/>
      <c r="AC55" s="74"/>
      <c r="AD55" s="74"/>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 customHeight="1" hidden="1">
      <c r="A56" s="74"/>
      <c r="B56" s="326"/>
      <c r="C56" s="326"/>
      <c r="D56" s="326"/>
      <c r="E56" s="328"/>
      <c r="F56" s="328"/>
      <c r="G56" s="328"/>
      <c r="H56" s="353"/>
      <c r="I56" s="353"/>
      <c r="J56" s="353"/>
      <c r="K56" s="353"/>
      <c r="L56" s="353"/>
      <c r="M56" s="330" t="s">
        <v>155</v>
      </c>
      <c r="N56" s="330"/>
      <c r="O56" s="330" t="s">
        <v>282</v>
      </c>
      <c r="P56" s="330"/>
      <c r="Q56" s="330"/>
      <c r="R56" s="330"/>
      <c r="S56" s="19"/>
      <c r="T56" s="198"/>
      <c r="U56" s="14"/>
      <c r="V56" s="14"/>
      <c r="W56"/>
      <c r="X56"/>
      <c r="Y56" s="5">
        <f>'data devices+costs'!B24</f>
        <v>0</v>
      </c>
      <c r="Z56" s="332">
        <f>'data devices+costs'!D24</f>
        <v>0</v>
      </c>
      <c r="AA56"/>
      <c r="AB56" s="79"/>
      <c r="AC56" s="74"/>
      <c r="AD56" s="74"/>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ustomHeight="1" hidden="1">
      <c r="A57" s="74"/>
      <c r="B57" s="334"/>
      <c r="C57" s="334"/>
      <c r="D57" s="334"/>
      <c r="E57" s="335"/>
      <c r="F57" s="336"/>
      <c r="G57" s="58"/>
      <c r="H57" s="348"/>
      <c r="I57" s="348"/>
      <c r="J57" s="348"/>
      <c r="K57" s="348"/>
      <c r="L57" s="338"/>
      <c r="M57" s="339">
        <f>((E57-G57)*F57*L57*'household+building'!P$28/1000)</f>
        <v>0</v>
      </c>
      <c r="N57" s="339"/>
      <c r="O57" s="340">
        <f>M57*'household+building'!F$38</f>
        <v>0</v>
      </c>
      <c r="P57" s="340"/>
      <c r="Q57" s="340">
        <f aca="true" t="shared" si="3" ref="Q57:Q66">IF(H57=Y$55,0,IF(H57=Y$56,Z$56,IF(H57=Y$57,Z$57,IF(H57=Y$58,Z$58))))</f>
        <v>0</v>
      </c>
      <c r="R57" s="340"/>
      <c r="S57" s="19"/>
      <c r="T57" s="198"/>
      <c r="U57" s="14"/>
      <c r="V57" s="14"/>
      <c r="W57"/>
      <c r="X57"/>
      <c r="Y57" s="5">
        <f>'data devices+costs'!B25</f>
        <v>0</v>
      </c>
      <c r="Z57" s="332">
        <f>'data devices+costs'!D25</f>
        <v>0</v>
      </c>
      <c r="AA57"/>
      <c r="AB57" s="79"/>
      <c r="AC57" s="74"/>
      <c r="AD57" s="74"/>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5" customHeight="1" hidden="1">
      <c r="A58" s="74"/>
      <c r="B58" s="334"/>
      <c r="C58" s="334"/>
      <c r="D58" s="334"/>
      <c r="E58" s="335"/>
      <c r="F58" s="336"/>
      <c r="G58" s="58"/>
      <c r="H58" s="348"/>
      <c r="I58" s="348"/>
      <c r="J58" s="348"/>
      <c r="K58" s="348"/>
      <c r="L58" s="338"/>
      <c r="M58" s="339">
        <f>((E58-G58)*F58*L58*'household+building'!P$28/1000)</f>
        <v>0</v>
      </c>
      <c r="N58" s="339"/>
      <c r="O58" s="340">
        <f>M58*'household+building'!F$38</f>
        <v>0</v>
      </c>
      <c r="P58" s="340"/>
      <c r="Q58" s="340">
        <f t="shared" si="3"/>
        <v>0</v>
      </c>
      <c r="R58" s="340"/>
      <c r="S58" s="19"/>
      <c r="T58" s="198"/>
      <c r="U58" s="14"/>
      <c r="V58" s="14"/>
      <c r="W58"/>
      <c r="X58"/>
      <c r="Y58" s="5">
        <f>'data devices+costs'!B26</f>
        <v>0</v>
      </c>
      <c r="Z58" s="332">
        <f>'data devices+costs'!D26</f>
        <v>0</v>
      </c>
      <c r="AA58"/>
      <c r="AB58" s="79"/>
      <c r="AC58" s="74"/>
      <c r="AD58" s="74"/>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5" customHeight="1" hidden="1">
      <c r="A59" s="74"/>
      <c r="B59" s="334"/>
      <c r="C59" s="334"/>
      <c r="D59" s="334"/>
      <c r="E59" s="335"/>
      <c r="F59" s="336"/>
      <c r="G59" s="58"/>
      <c r="H59" s="348"/>
      <c r="I59" s="348"/>
      <c r="J59" s="348"/>
      <c r="K59" s="348"/>
      <c r="L59" s="338"/>
      <c r="M59" s="339">
        <f>((E59-G59)*F59*L59*'household+building'!P$28/1000)</f>
        <v>0</v>
      </c>
      <c r="N59" s="339"/>
      <c r="O59" s="340">
        <f>M59*'household+building'!F$38</f>
        <v>0</v>
      </c>
      <c r="P59" s="340"/>
      <c r="Q59" s="340">
        <f t="shared" si="3"/>
        <v>0</v>
      </c>
      <c r="R59" s="340"/>
      <c r="S59" s="19"/>
      <c r="T59" s="198"/>
      <c r="U59" s="14"/>
      <c r="V59" s="14"/>
      <c r="W59"/>
      <c r="X59"/>
      <c r="Y59" s="360"/>
      <c r="Z59" s="361"/>
      <c r="AA59"/>
      <c r="AB59" s="79"/>
      <c r="AC59" s="74"/>
      <c r="AD59" s="74"/>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5" customHeight="1" hidden="1">
      <c r="A60" s="74"/>
      <c r="B60" s="334"/>
      <c r="C60" s="334"/>
      <c r="D60" s="334"/>
      <c r="E60" s="335"/>
      <c r="F60" s="336"/>
      <c r="G60" s="58"/>
      <c r="H60" s="348"/>
      <c r="I60" s="348"/>
      <c r="J60" s="348"/>
      <c r="K60" s="348"/>
      <c r="L60" s="338"/>
      <c r="M60" s="339">
        <f>((E60-G60)*F60*L60*'household+building'!P$28/1000)</f>
        <v>0</v>
      </c>
      <c r="N60" s="339"/>
      <c r="O60" s="340">
        <f>M60*'household+building'!F$38</f>
        <v>0</v>
      </c>
      <c r="P60" s="340"/>
      <c r="Q60" s="340">
        <f t="shared" si="3"/>
        <v>0</v>
      </c>
      <c r="R60" s="340"/>
      <c r="S60" s="19"/>
      <c r="T60" s="198"/>
      <c r="U60" s="14"/>
      <c r="V60" s="14"/>
      <c r="W60"/>
      <c r="X60"/>
      <c r="Y60"/>
      <c r="Z60"/>
      <c r="AA60"/>
      <c r="AB60" s="79"/>
      <c r="AC60" s="74"/>
      <c r="AD60" s="74"/>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5" customHeight="1" hidden="1">
      <c r="A61" s="74"/>
      <c r="B61" s="334"/>
      <c r="C61" s="334"/>
      <c r="D61" s="334"/>
      <c r="E61" s="335"/>
      <c r="F61" s="336"/>
      <c r="G61" s="58"/>
      <c r="H61" s="348"/>
      <c r="I61" s="348"/>
      <c r="J61" s="348"/>
      <c r="K61" s="348"/>
      <c r="L61" s="338"/>
      <c r="M61" s="339">
        <f>((E61-G61)*F61*L61*'household+building'!P$28/1000)</f>
        <v>0</v>
      </c>
      <c r="N61" s="339"/>
      <c r="O61" s="340">
        <f>M61*'household+building'!F$38</f>
        <v>0</v>
      </c>
      <c r="P61" s="340"/>
      <c r="Q61" s="340">
        <f t="shared" si="3"/>
        <v>0</v>
      </c>
      <c r="R61" s="340"/>
      <c r="S61" s="19"/>
      <c r="T61" s="198"/>
      <c r="U61" s="14"/>
      <c r="V61" s="14"/>
      <c r="W61"/>
      <c r="X61"/>
      <c r="Y61" s="5"/>
      <c r="Z61"/>
      <c r="AA61"/>
      <c r="AB61" s="79"/>
      <c r="AC61" s="74"/>
      <c r="AD61" s="74"/>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5" customHeight="1" hidden="1">
      <c r="A62" s="74"/>
      <c r="B62" s="334"/>
      <c r="C62" s="334"/>
      <c r="D62" s="334"/>
      <c r="E62" s="335"/>
      <c r="F62" s="336"/>
      <c r="G62" s="58"/>
      <c r="H62" s="348"/>
      <c r="I62" s="348"/>
      <c r="J62" s="348"/>
      <c r="K62" s="348"/>
      <c r="L62" s="338"/>
      <c r="M62" s="339">
        <f>((E62-G62)*F62*L62*'household+building'!P$28/1000)</f>
        <v>0</v>
      </c>
      <c r="N62" s="339"/>
      <c r="O62" s="340">
        <f>M62*'household+building'!F$38</f>
        <v>0</v>
      </c>
      <c r="P62" s="340"/>
      <c r="Q62" s="340">
        <f t="shared" si="3"/>
        <v>0</v>
      </c>
      <c r="R62" s="340"/>
      <c r="S62" s="19"/>
      <c r="T62" s="198"/>
      <c r="U62" s="14"/>
      <c r="V62" s="14"/>
      <c r="W62"/>
      <c r="X62"/>
      <c r="Y62" s="5"/>
      <c r="Z62"/>
      <c r="AA62"/>
      <c r="AB62" s="79"/>
      <c r="AC62" s="74"/>
      <c r="AD62" s="74"/>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5" customHeight="1" hidden="1">
      <c r="A63" s="74"/>
      <c r="B63" s="334"/>
      <c r="C63" s="334"/>
      <c r="D63" s="334"/>
      <c r="E63" s="335"/>
      <c r="F63" s="336"/>
      <c r="G63" s="58"/>
      <c r="H63" s="348"/>
      <c r="I63" s="348"/>
      <c r="J63" s="348"/>
      <c r="K63" s="348"/>
      <c r="L63" s="338"/>
      <c r="M63" s="339">
        <f>((E63-G63)*F63*L63*'household+building'!P$28/1000)</f>
        <v>0</v>
      </c>
      <c r="N63" s="339"/>
      <c r="O63" s="340">
        <f>M63*'household+building'!F$38</f>
        <v>0</v>
      </c>
      <c r="P63" s="340"/>
      <c r="Q63" s="340">
        <f t="shared" si="3"/>
        <v>0</v>
      </c>
      <c r="R63" s="340"/>
      <c r="S63" s="19"/>
      <c r="T63" s="198"/>
      <c r="U63" s="14"/>
      <c r="V63" s="14"/>
      <c r="W63"/>
      <c r="X63"/>
      <c r="Y63" s="5"/>
      <c r="Z63"/>
      <c r="AA63"/>
      <c r="AB63" s="79"/>
      <c r="AC63" s="74"/>
      <c r="AD63" s="74"/>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5" customHeight="1" hidden="1">
      <c r="A64" s="74"/>
      <c r="B64" s="334"/>
      <c r="C64" s="334"/>
      <c r="D64" s="334"/>
      <c r="E64" s="335"/>
      <c r="F64" s="336"/>
      <c r="G64" s="58"/>
      <c r="H64" s="348"/>
      <c r="I64" s="348"/>
      <c r="J64" s="348"/>
      <c r="K64" s="348"/>
      <c r="L64" s="338"/>
      <c r="M64" s="339">
        <f>((E64-G64)*F64*L64*'household+building'!P$28/1000)</f>
        <v>0</v>
      </c>
      <c r="N64" s="339"/>
      <c r="O64" s="340">
        <f>M64*'household+building'!F$38</f>
        <v>0</v>
      </c>
      <c r="P64" s="340"/>
      <c r="Q64" s="340">
        <f t="shared" si="3"/>
        <v>0</v>
      </c>
      <c r="R64" s="340"/>
      <c r="S64" s="19"/>
      <c r="T64" s="198"/>
      <c r="U64" s="14"/>
      <c r="V64" s="14"/>
      <c r="W64"/>
      <c r="X64"/>
      <c r="Y64" s="5"/>
      <c r="Z64"/>
      <c r="AA64"/>
      <c r="AB64" s="79"/>
      <c r="AC64" s="74"/>
      <c r="AD64" s="7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5" customHeight="1" hidden="1">
      <c r="A65" s="74"/>
      <c r="B65" s="334"/>
      <c r="C65" s="334"/>
      <c r="D65" s="334"/>
      <c r="E65" s="335"/>
      <c r="F65" s="336"/>
      <c r="G65" s="58"/>
      <c r="H65" s="348"/>
      <c r="I65" s="348"/>
      <c r="J65" s="348"/>
      <c r="K65" s="348"/>
      <c r="L65" s="338"/>
      <c r="M65" s="339">
        <f>((E65-G65)*F65*L65*'household+building'!P$28/1000)</f>
        <v>0</v>
      </c>
      <c r="N65" s="339"/>
      <c r="O65" s="340">
        <f>M65*'household+building'!F$38</f>
        <v>0</v>
      </c>
      <c r="P65" s="340"/>
      <c r="Q65" s="340">
        <f t="shared" si="3"/>
        <v>0</v>
      </c>
      <c r="R65" s="340"/>
      <c r="S65" s="19"/>
      <c r="T65" s="198"/>
      <c r="U65" s="14"/>
      <c r="V65" s="14"/>
      <c r="W65"/>
      <c r="X65"/>
      <c r="Y65" s="5"/>
      <c r="Z65"/>
      <c r="AA65"/>
      <c r="AB65" s="79"/>
      <c r="AC65" s="74"/>
      <c r="AD65" s="74"/>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5" customHeight="1" hidden="1">
      <c r="A66" s="74"/>
      <c r="B66" s="354"/>
      <c r="C66" s="354"/>
      <c r="D66" s="354"/>
      <c r="E66" s="355"/>
      <c r="F66" s="356"/>
      <c r="G66" s="357"/>
      <c r="H66" s="348"/>
      <c r="I66" s="348"/>
      <c r="J66" s="348"/>
      <c r="K66" s="348"/>
      <c r="L66" s="338"/>
      <c r="M66" s="339">
        <f>((E66-G66)*F66*L66*'household+building'!P$28/1000)</f>
        <v>0</v>
      </c>
      <c r="N66" s="339"/>
      <c r="O66" s="340">
        <f>M66*'household+building'!F$38</f>
        <v>0</v>
      </c>
      <c r="P66" s="340"/>
      <c r="Q66" s="340">
        <f t="shared" si="3"/>
        <v>0</v>
      </c>
      <c r="R66" s="340"/>
      <c r="S66" s="19"/>
      <c r="T66" s="198"/>
      <c r="U66" s="14"/>
      <c r="V66" s="14"/>
      <c r="W66"/>
      <c r="X66"/>
      <c r="Y66" s="5"/>
      <c r="Z66"/>
      <c r="AA66"/>
      <c r="AB66" s="79"/>
      <c r="AC66" s="74"/>
      <c r="AD66" s="74"/>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5" customHeight="1" hidden="1">
      <c r="A67" s="74"/>
      <c r="B67" s="341" t="s">
        <v>293</v>
      </c>
      <c r="C67" s="9"/>
      <c r="D67" s="9"/>
      <c r="E67" s="9"/>
      <c r="F67" s="9"/>
      <c r="G67" s="9"/>
      <c r="H67" s="9"/>
      <c r="I67" s="9"/>
      <c r="J67" s="9"/>
      <c r="K67" s="358" t="s">
        <v>268</v>
      </c>
      <c r="L67" s="359">
        <f>SUM(L57:L66)</f>
        <v>0</v>
      </c>
      <c r="M67" s="344">
        <f>SUM(M57:M66)</f>
        <v>0</v>
      </c>
      <c r="N67" s="344"/>
      <c r="O67" s="345">
        <f>SUM(O57:P66)</f>
        <v>0</v>
      </c>
      <c r="P67" s="345"/>
      <c r="Q67" s="345">
        <f>SUM(Q57:R66)</f>
        <v>0</v>
      </c>
      <c r="R67" s="345"/>
      <c r="S67" s="19"/>
      <c r="T67" s="198"/>
      <c r="U67" s="14"/>
      <c r="V67" s="14"/>
      <c r="W67"/>
      <c r="X67"/>
      <c r="Y67" s="5"/>
      <c r="Z67"/>
      <c r="AA67"/>
      <c r="AB67" s="79"/>
      <c r="AC67" s="74"/>
      <c r="AD67" s="74"/>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9" customHeight="1" hidden="1">
      <c r="A68" s="74"/>
      <c r="B68" s="349"/>
      <c r="C68" s="349"/>
      <c r="D68" s="349"/>
      <c r="E68" s="349"/>
      <c r="F68" s="349"/>
      <c r="G68" s="349"/>
      <c r="H68" s="349"/>
      <c r="I68" s="349"/>
      <c r="J68" s="349"/>
      <c r="K68" s="349"/>
      <c r="L68" s="350"/>
      <c r="M68" s="350"/>
      <c r="N68" s="351"/>
      <c r="O68"/>
      <c r="P68" s="352"/>
      <c r="Q68"/>
      <c r="R68"/>
      <c r="S68" s="19"/>
      <c r="T68" s="198"/>
      <c r="U68" s="14"/>
      <c r="V68" s="14"/>
      <c r="W68"/>
      <c r="X68"/>
      <c r="Y68" s="5"/>
      <c r="Z68"/>
      <c r="AA68"/>
      <c r="AB68" s="79"/>
      <c r="AC68" s="74"/>
      <c r="AD68" s="74"/>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5" customHeight="1" hidden="1">
      <c r="A69" s="74"/>
      <c r="B69" s="362" t="s">
        <v>297</v>
      </c>
      <c r="C69" s="138"/>
      <c r="D69" s="363"/>
      <c r="E69" s="364"/>
      <c r="F69" s="363"/>
      <c r="G69" s="363"/>
      <c r="H69" s="363"/>
      <c r="I69" s="363"/>
      <c r="J69" s="365"/>
      <c r="K69" s="366"/>
      <c r="L69" s="367"/>
      <c r="M69" s="367"/>
      <c r="N69" s="363"/>
      <c r="O69" s="368"/>
      <c r="P69" s="369"/>
      <c r="Q69" s="369"/>
      <c r="R69" s="363"/>
      <c r="S69" s="19"/>
      <c r="T69" s="198"/>
      <c r="U69" s="14"/>
      <c r="V69" s="14"/>
      <c r="W69"/>
      <c r="X69"/>
      <c r="Y69" s="5"/>
      <c r="Z69"/>
      <c r="AA69"/>
      <c r="AB69" s="79"/>
      <c r="AC69" s="74"/>
      <c r="AD69" s="74"/>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5" customHeight="1" hidden="1">
      <c r="A70" s="74"/>
      <c r="B70" s="370"/>
      <c r="C70" s="370"/>
      <c r="D70" s="370"/>
      <c r="E70" s="370"/>
      <c r="F70" s="370"/>
      <c r="G70" s="370"/>
      <c r="H70" s="370"/>
      <c r="I70" s="370"/>
      <c r="J70" s="370"/>
      <c r="K70" s="370"/>
      <c r="L70" s="370"/>
      <c r="M70" s="370"/>
      <c r="N70" s="370"/>
      <c r="O70" s="370"/>
      <c r="P70" s="370"/>
      <c r="Q70" s="370"/>
      <c r="R70" s="370"/>
      <c r="S70" s="19"/>
      <c r="T70"/>
      <c r="U70" s="14"/>
      <c r="V70" s="14"/>
      <c r="W70"/>
      <c r="X70"/>
      <c r="Y70" s="5"/>
      <c r="Z70"/>
      <c r="AA70"/>
      <c r="AB70" s="79"/>
      <c r="AC70" s="5"/>
      <c r="AD70" s="74"/>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3.5" customHeight="1" hidden="1">
      <c r="A71" s="74"/>
      <c r="B71" s="371"/>
      <c r="C71" s="371"/>
      <c r="D71" s="371"/>
      <c r="E71" s="371"/>
      <c r="F71" s="371"/>
      <c r="G71" s="371"/>
      <c r="H71" s="371"/>
      <c r="I71" s="371"/>
      <c r="J71" s="371"/>
      <c r="K71" s="371"/>
      <c r="L71" s="371"/>
      <c r="M71" s="371"/>
      <c r="N71" s="371"/>
      <c r="O71" s="371"/>
      <c r="P71" s="371"/>
      <c r="Q71" s="371"/>
      <c r="R71" s="3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9" customHeight="1" hidden="1">
      <c r="A72" s="74"/>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 customHeight="1" hidden="1">
      <c r="A73" s="138"/>
      <c r="B73" s="5" t="s">
        <v>298</v>
      </c>
      <c r="C73" s="138"/>
      <c r="D73" s="138"/>
      <c r="E73" s="138"/>
      <c r="F73" s="138"/>
      <c r="G73" s="138"/>
      <c r="H73" s="138"/>
      <c r="I73" s="138"/>
      <c r="J73" s="138"/>
      <c r="K73" s="138"/>
      <c r="L73" s="138"/>
      <c r="M73" s="138"/>
      <c r="N73" s="138"/>
      <c r="O73" s="138"/>
      <c r="P73" s="138"/>
      <c r="Q73" s="138"/>
      <c r="R73" s="138"/>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4.25" customHeight="1" hidden="1">
      <c r="A74" s="372"/>
      <c r="B74" s="5" t="s">
        <v>299</v>
      </c>
      <c r="C74" s="138"/>
      <c r="D74" s="138"/>
      <c r="E74" s="138"/>
      <c r="F74" s="138"/>
      <c r="G74" s="138"/>
      <c r="H74" s="138"/>
      <c r="I74" s="138"/>
      <c r="J74" s="138"/>
      <c r="K74" s="138"/>
      <c r="L74" s="138"/>
      <c r="M74" s="138"/>
      <c r="N74" s="138"/>
      <c r="O74" s="138"/>
      <c r="P74" s="138"/>
      <c r="Q74" s="138"/>
      <c r="R74" s="138"/>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5" customHeight="1" hidden="1">
      <c r="A75" s="372"/>
      <c r="B75" s="5" t="s">
        <v>300</v>
      </c>
      <c r="C75" s="138"/>
      <c r="D75" s="138"/>
      <c r="E75" s="138"/>
      <c r="F75" s="138"/>
      <c r="G75" s="138"/>
      <c r="H75" s="138"/>
      <c r="I75" s="138"/>
      <c r="J75" s="138"/>
      <c r="K75" s="138"/>
      <c r="L75" s="138"/>
      <c r="M75" s="138"/>
      <c r="N75" s="138"/>
      <c r="O75" s="138"/>
      <c r="P75" s="138"/>
      <c r="Q75" s="138"/>
      <c r="R75" s="138"/>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6.5" customHeight="1" hidden="1">
      <c r="A76" s="372"/>
      <c r="B76" s="373"/>
      <c r="C76" s="138"/>
      <c r="D76" s="138"/>
      <c r="E76" s="138"/>
      <c r="F76" s="138"/>
      <c r="G76" s="138"/>
      <c r="H76" s="138"/>
      <c r="I76" s="138"/>
      <c r="J76" s="138"/>
      <c r="K76" s="138"/>
      <c r="L76" s="138"/>
      <c r="M76" s="138"/>
      <c r="N76" s="138"/>
      <c r="O76" s="138"/>
      <c r="P76" s="138"/>
      <c r="Q76" s="138"/>
      <c r="R76" s="138"/>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6.5" customHeight="1" hidden="1">
      <c r="A77" s="372"/>
      <c r="B77" s="373"/>
      <c r="C77" s="138"/>
      <c r="D77" s="138"/>
      <c r="E77" s="138"/>
      <c r="F77" s="138"/>
      <c r="G77" s="138"/>
      <c r="H77" s="138"/>
      <c r="I77" s="138"/>
      <c r="J77" s="138"/>
      <c r="K77" s="138"/>
      <c r="L77" s="138"/>
      <c r="M77" s="138"/>
      <c r="N77" s="138"/>
      <c r="O77" s="138"/>
      <c r="P77" s="138"/>
      <c r="Q77" s="138"/>
      <c r="R77" s="138"/>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16.5" customHeight="1">
      <c r="A78" s="372"/>
      <c r="B78"/>
      <c r="C78"/>
      <c r="D78" s="138"/>
      <c r="E78" s="138"/>
      <c r="F78" s="138"/>
      <c r="G78" s="138"/>
      <c r="H78" s="138"/>
      <c r="I78" s="138"/>
      <c r="J78" s="138"/>
      <c r="K78" s="138"/>
      <c r="L78" s="138"/>
      <c r="M78" s="138"/>
      <c r="N78" s="138"/>
      <c r="O78" s="138"/>
      <c r="P78" s="138"/>
      <c r="Q78" s="138"/>
      <c r="R78" s="13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7.5" customHeight="1">
      <c r="A79" s="374"/>
      <c r="B79" s="375"/>
      <c r="C79" s="375"/>
      <c r="D79" s="375"/>
      <c r="E79" s="375"/>
      <c r="F79" s="375"/>
      <c r="G79" s="375"/>
      <c r="H79" s="375"/>
      <c r="I79" s="375"/>
      <c r="J79" s="375"/>
      <c r="K79" s="375"/>
      <c r="L79" s="375"/>
      <c r="M79" s="375"/>
      <c r="N79" s="375"/>
      <c r="O79" s="375"/>
      <c r="P79" s="375"/>
      <c r="Q79" s="375"/>
      <c r="R79" s="375"/>
      <c r="S79" s="94"/>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8" customHeight="1">
      <c r="A80" s="376"/>
      <c r="B80" s="377" t="s">
        <v>301</v>
      </c>
      <c r="C80" s="378"/>
      <c r="D80" s="378"/>
      <c r="E80" s="378"/>
      <c r="F80" s="378"/>
      <c r="G80" s="378"/>
      <c r="H80" s="378"/>
      <c r="I80" s="378"/>
      <c r="J80" s="378"/>
      <c r="K80" s="378"/>
      <c r="L80" s="379"/>
      <c r="M80"/>
      <c r="N80"/>
      <c r="O80"/>
      <c r="P80"/>
      <c r="Q80"/>
      <c r="R80" s="3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3" customHeight="1">
      <c r="A81" s="376"/>
      <c r="B81" s="381"/>
      <c r="C81" s="378"/>
      <c r="D81" s="378"/>
      <c r="E81" s="378"/>
      <c r="F81" s="378"/>
      <c r="G81" s="378"/>
      <c r="H81" s="378"/>
      <c r="I81" s="378"/>
      <c r="J81" s="378"/>
      <c r="K81" s="378"/>
      <c r="L81" s="379"/>
      <c r="M81" s="382"/>
      <c r="N81" s="64"/>
      <c r="O81" s="64"/>
      <c r="P81" s="56"/>
      <c r="Q81"/>
      <c r="R81"/>
      <c r="S81"/>
      <c r="T81"/>
      <c r="U81"/>
      <c r="V81"/>
      <c r="W81"/>
      <c r="X81" s="5" t="s">
        <v>302</v>
      </c>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8.25" customHeight="1">
      <c r="A82" s="376"/>
      <c r="B82" s="381"/>
      <c r="C82" s="378"/>
      <c r="D82" s="378"/>
      <c r="E82" s="378"/>
      <c r="F82" s="378"/>
      <c r="G82" s="378"/>
      <c r="H82" s="378"/>
      <c r="I82" s="378"/>
      <c r="J82" s="378"/>
      <c r="K82" s="378"/>
      <c r="L82" s="379"/>
      <c r="M82" s="382"/>
      <c r="N82" s="64"/>
      <c r="O82" s="64"/>
      <c r="P82" s="56"/>
      <c r="Q82"/>
      <c r="R82"/>
      <c r="S82"/>
      <c r="T82"/>
      <c r="U82"/>
      <c r="V82"/>
      <c r="W82"/>
      <c r="X82" s="5" t="s">
        <v>303</v>
      </c>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3.5" customHeight="1">
      <c r="A83" s="376"/>
      <c r="B83" s="381" t="s">
        <v>304</v>
      </c>
      <c r="C83" s="378"/>
      <c r="D83" s="378"/>
      <c r="E83" s="378"/>
      <c r="F83" s="378"/>
      <c r="G83" s="378"/>
      <c r="H83" s="378"/>
      <c r="I83" s="378"/>
      <c r="J83" s="378"/>
      <c r="K83" s="378"/>
      <c r="L83" s="379"/>
      <c r="M83" s="382"/>
      <c r="N83" s="64"/>
      <c r="O83" s="64"/>
      <c r="P83" s="56"/>
      <c r="Q83"/>
      <c r="R83"/>
      <c r="S83"/>
      <c r="T83"/>
      <c r="U83"/>
      <c r="V83"/>
      <c r="W83"/>
      <c r="X83" s="5" t="s">
        <v>305</v>
      </c>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6" customHeight="1">
      <c r="A84" s="376"/>
      <c r="B84" s="381"/>
      <c r="C84" s="378"/>
      <c r="D84" s="383"/>
      <c r="E84" s="378"/>
      <c r="F84" s="378"/>
      <c r="G84" s="378"/>
      <c r="H84" s="378"/>
      <c r="I84" s="378"/>
      <c r="J84" s="378"/>
      <c r="K84" s="378"/>
      <c r="L84" s="379"/>
      <c r="M84" s="382"/>
      <c r="N84" s="64"/>
      <c r="O84" s="64"/>
      <c r="P84" s="56"/>
      <c r="Q84" s="19"/>
      <c r="R84"/>
      <c r="S84"/>
      <c r="T84"/>
      <c r="U84"/>
      <c r="V84"/>
      <c r="W84"/>
      <c r="X84" s="5" t="s">
        <v>306</v>
      </c>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9.75" customHeight="1">
      <c r="A85" s="376"/>
      <c r="B85" s="384" t="s">
        <v>307</v>
      </c>
      <c r="C85" s="378"/>
      <c r="D85" s="378"/>
      <c r="E85" s="378"/>
      <c r="F85" s="378"/>
      <c r="G85" s="378"/>
      <c r="H85" s="378"/>
      <c r="I85" s="378"/>
      <c r="J85" s="378"/>
      <c r="K85" s="378"/>
      <c r="L85" s="379"/>
      <c r="M85" s="382"/>
      <c r="N85" s="64"/>
      <c r="O85" s="64"/>
      <c r="P85" s="56"/>
      <c r="Q85"/>
      <c r="R85"/>
      <c r="S85"/>
      <c r="T85"/>
      <c r="U85"/>
      <c r="V85"/>
      <c r="W85"/>
      <c r="X85" s="5" t="s">
        <v>308</v>
      </c>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12.75" customHeight="1">
      <c r="A86" s="376"/>
      <c r="B86" s="357"/>
      <c r="C86" s="357"/>
      <c r="D86" s="357"/>
      <c r="E86" s="385" t="s">
        <v>256</v>
      </c>
      <c r="F86" s="378"/>
      <c r="G86" s="378"/>
      <c r="H86" s="378"/>
      <c r="I86" s="378"/>
      <c r="J86" s="378"/>
      <c r="K86" s="378"/>
      <c r="L86" s="379"/>
      <c r="M86"/>
      <c r="N86"/>
      <c r="O86"/>
      <c r="P86"/>
      <c r="Q86"/>
      <c r="R86"/>
      <c r="S86"/>
      <c r="T86"/>
      <c r="U86"/>
      <c r="V86"/>
      <c r="W86"/>
      <c r="X86" s="5" t="s">
        <v>309</v>
      </c>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2.75" customHeight="1">
      <c r="A87" s="376"/>
      <c r="B87" s="386" t="s">
        <v>310</v>
      </c>
      <c r="C87" s="386"/>
      <c r="D87" s="386"/>
      <c r="E87" s="327" t="s">
        <v>275</v>
      </c>
      <c r="F87" s="328" t="s">
        <v>311</v>
      </c>
      <c r="G87" s="328" t="s">
        <v>277</v>
      </c>
      <c r="H87" s="387" t="s">
        <v>312</v>
      </c>
      <c r="I87" s="387"/>
      <c r="J87" s="387"/>
      <c r="K87" s="387"/>
      <c r="L87" s="387"/>
      <c r="M87" s="330" t="s">
        <v>279</v>
      </c>
      <c r="N87" s="330"/>
      <c r="O87" s="330"/>
      <c r="P87" s="330"/>
      <c r="Q87" s="330" t="s">
        <v>280</v>
      </c>
      <c r="R87" s="330"/>
      <c r="S87"/>
      <c r="T87"/>
      <c r="U87"/>
      <c r="V87"/>
      <c r="W87"/>
      <c r="X87" s="5" t="s">
        <v>313</v>
      </c>
      <c r="Y87" s="388">
        <f>'data devices+costs'!B30</f>
        <v>0</v>
      </c>
      <c r="Z87" s="389">
        <f>'data devices+costs'!D30</f>
        <v>1</v>
      </c>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15" customHeight="1">
      <c r="A88" s="315"/>
      <c r="B88" s="386"/>
      <c r="C88" s="386"/>
      <c r="D88" s="386"/>
      <c r="E88" s="327"/>
      <c r="F88" s="327"/>
      <c r="G88" s="327"/>
      <c r="H88" s="387"/>
      <c r="I88" s="387"/>
      <c r="J88" s="387"/>
      <c r="K88" s="387"/>
      <c r="L88" s="387"/>
      <c r="M88" s="330" t="s">
        <v>155</v>
      </c>
      <c r="N88" s="330"/>
      <c r="O88" s="330" t="s">
        <v>282</v>
      </c>
      <c r="P88" s="330"/>
      <c r="Q88" s="330"/>
      <c r="R88" s="330"/>
      <c r="S88" s="199"/>
      <c r="T88"/>
      <c r="U88"/>
      <c r="V88"/>
      <c r="W88"/>
      <c r="X88" s="5" t="s">
        <v>314</v>
      </c>
      <c r="Y88" s="388">
        <f>'data devices+costs'!B31</f>
        <v>0</v>
      </c>
      <c r="Z88" s="389">
        <f>'data devices+costs'!D31</f>
        <v>0</v>
      </c>
      <c r="AA88"/>
      <c r="AB88"/>
      <c r="AC88"/>
      <c r="AD88" s="5"/>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5" customHeight="1">
      <c r="A89" s="74"/>
      <c r="B89" s="348"/>
      <c r="C89" s="348"/>
      <c r="D89" s="348"/>
      <c r="E89" s="390"/>
      <c r="F89" s="338"/>
      <c r="G89" s="391">
        <v>0</v>
      </c>
      <c r="H89" s="392"/>
      <c r="I89" s="392"/>
      <c r="J89" s="392"/>
      <c r="K89" s="392"/>
      <c r="L89" s="392"/>
      <c r="M89" s="339">
        <f aca="true" t="shared" si="4" ref="M89:M94">(E89*F89*365)/1000</f>
        <v>0</v>
      </c>
      <c r="N89" s="339"/>
      <c r="O89" s="393">
        <f>M89*'household+building'!F$38</f>
        <v>0</v>
      </c>
      <c r="P89" s="393"/>
      <c r="Q89" s="393">
        <f>IF(H89=$X$100,$Y$100,IF(H89=$Y$87,$Z$87,IF(H89=$Y$88,$Z$88,IF(H89=$Y$89,$Z$89,IF(H89=$Y$90=$Z$90,IF(H89=$Y$91,$Z$91,IF(H89=$Y$92,$Z$92,"0")))))))</f>
        <v>0</v>
      </c>
      <c r="R89" s="393"/>
      <c r="S89" s="19"/>
      <c r="T89"/>
      <c r="U89"/>
      <c r="V89"/>
      <c r="W89"/>
      <c r="X89" s="5" t="s">
        <v>315</v>
      </c>
      <c r="Y89" s="388">
        <f>'data devices+costs'!B32</f>
        <v>0</v>
      </c>
      <c r="Z89" s="389">
        <f>'data devices+costs'!D32</f>
        <v>0</v>
      </c>
      <c r="AA89"/>
      <c r="AB89"/>
      <c r="AC89"/>
      <c r="AD89" s="5"/>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5" customHeight="1">
      <c r="A90" s="315"/>
      <c r="B90" s="348"/>
      <c r="C90" s="348"/>
      <c r="D90" s="348"/>
      <c r="E90" s="390"/>
      <c r="F90" s="338"/>
      <c r="G90" s="391">
        <v>0</v>
      </c>
      <c r="H90" s="394"/>
      <c r="I90" s="394"/>
      <c r="J90" s="394"/>
      <c r="K90" s="394"/>
      <c r="L90" s="394"/>
      <c r="M90" s="339">
        <f t="shared" si="4"/>
        <v>0</v>
      </c>
      <c r="N90" s="339"/>
      <c r="O90" s="393">
        <f>M90*'household+building'!F$38</f>
        <v>0</v>
      </c>
      <c r="P90" s="393"/>
      <c r="Q90" s="394"/>
      <c r="R90" s="394"/>
      <c r="S90"/>
      <c r="T90"/>
      <c r="U90"/>
      <c r="V90"/>
      <c r="W90"/>
      <c r="X90" s="5" t="s">
        <v>316</v>
      </c>
      <c r="Y90" s="388">
        <f>'data devices+costs'!B33</f>
        <v>0</v>
      </c>
      <c r="Z90" s="389">
        <f>'data devices+costs'!D33</f>
        <v>0</v>
      </c>
      <c r="AA90"/>
      <c r="AB90"/>
      <c r="AC90"/>
      <c r="AD90" s="5"/>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ustomHeight="1">
      <c r="A91" s="315"/>
      <c r="B91" s="348"/>
      <c r="C91" s="348"/>
      <c r="D91" s="348"/>
      <c r="E91" s="390"/>
      <c r="F91" s="338"/>
      <c r="G91" s="391">
        <v>0</v>
      </c>
      <c r="H91" s="394"/>
      <c r="I91" s="394"/>
      <c r="J91" s="394"/>
      <c r="K91" s="394"/>
      <c r="L91" s="394"/>
      <c r="M91" s="339">
        <f t="shared" si="4"/>
        <v>0</v>
      </c>
      <c r="N91" s="339"/>
      <c r="O91" s="393">
        <f>M91*'household+building'!F$38</f>
        <v>0</v>
      </c>
      <c r="P91" s="393"/>
      <c r="Q91" s="394"/>
      <c r="R91" s="394"/>
      <c r="S91"/>
      <c r="T91"/>
      <c r="U91"/>
      <c r="V91"/>
      <c r="W91"/>
      <c r="X91" s="5" t="s">
        <v>317</v>
      </c>
      <c r="Y91" s="388">
        <f>'data devices+costs'!B34</f>
        <v>0</v>
      </c>
      <c r="Z91" s="389">
        <f>'data devices+costs'!D34</f>
        <v>0</v>
      </c>
      <c r="AA91"/>
      <c r="AB91"/>
      <c r="AC91"/>
      <c r="AD91" s="5"/>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5" customHeight="1">
      <c r="A92" s="315"/>
      <c r="B92" s="348"/>
      <c r="C92" s="348"/>
      <c r="D92" s="348"/>
      <c r="E92" s="390"/>
      <c r="F92" s="338"/>
      <c r="G92" s="391">
        <v>0</v>
      </c>
      <c r="H92" s="394"/>
      <c r="I92" s="394"/>
      <c r="J92" s="394"/>
      <c r="K92" s="394"/>
      <c r="L92" s="394"/>
      <c r="M92" s="339">
        <f t="shared" si="4"/>
        <v>0</v>
      </c>
      <c r="N92" s="339"/>
      <c r="O92" s="393">
        <f>M92*'household+building'!F$38</f>
        <v>0</v>
      </c>
      <c r="P92" s="393"/>
      <c r="Q92" s="394"/>
      <c r="R92" s="394"/>
      <c r="S92"/>
      <c r="T92"/>
      <c r="U92"/>
      <c r="V92"/>
      <c r="W92"/>
      <c r="X92" s="5" t="s">
        <v>318</v>
      </c>
      <c r="Y92" s="388">
        <f>'data devices+costs'!B35</f>
        <v>0</v>
      </c>
      <c r="Z92" s="389">
        <f>'data devices+costs'!D35</f>
        <v>0</v>
      </c>
      <c r="AA92"/>
      <c r="AB92"/>
      <c r="AC92"/>
      <c r="AD92" s="5"/>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15" customHeight="1">
      <c r="A93" s="315"/>
      <c r="B93" s="348"/>
      <c r="C93" s="348"/>
      <c r="D93" s="348"/>
      <c r="E93" s="390"/>
      <c r="F93" s="338"/>
      <c r="G93" s="391">
        <v>0</v>
      </c>
      <c r="H93" s="394"/>
      <c r="I93" s="394"/>
      <c r="J93" s="394"/>
      <c r="K93" s="394"/>
      <c r="L93" s="394"/>
      <c r="M93" s="339">
        <f t="shared" si="4"/>
        <v>0</v>
      </c>
      <c r="N93" s="339"/>
      <c r="O93" s="393">
        <f>M93*'household+building'!F$38</f>
        <v>0</v>
      </c>
      <c r="P93" s="393"/>
      <c r="Q93" s="394"/>
      <c r="R93" s="394"/>
      <c r="S93"/>
      <c r="T93"/>
      <c r="U93" s="198"/>
      <c r="V93"/>
      <c r="W93"/>
      <c r="X93" s="5" t="s">
        <v>120</v>
      </c>
      <c r="Y93" s="5"/>
      <c r="Z93"/>
      <c r="AA93"/>
      <c r="AB93"/>
      <c r="AC93"/>
      <c r="AD93" s="5"/>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 customHeight="1" hidden="1">
      <c r="A94" s="315"/>
      <c r="B94" s="348"/>
      <c r="C94" s="348"/>
      <c r="D94" s="348"/>
      <c r="E94" s="390"/>
      <c r="F94" s="338"/>
      <c r="G94" s="391">
        <v>0</v>
      </c>
      <c r="H94" s="394"/>
      <c r="I94" s="394"/>
      <c r="J94" s="394"/>
      <c r="K94" s="394"/>
      <c r="L94" s="394"/>
      <c r="M94" s="339">
        <f t="shared" si="4"/>
        <v>0</v>
      </c>
      <c r="N94" s="339"/>
      <c r="O94" s="393">
        <f>M94*'household+building'!F$38</f>
        <v>0</v>
      </c>
      <c r="P94" s="393"/>
      <c r="Q94" s="394"/>
      <c r="R94" s="394"/>
      <c r="S94"/>
      <c r="T94"/>
      <c r="U94"/>
      <c r="V94"/>
      <c r="W94"/>
      <c r="X94" s="5"/>
      <c r="Y94" s="44"/>
      <c r="Z94"/>
      <c r="AA94"/>
      <c r="AB94"/>
      <c r="AC94"/>
      <c r="AD94" s="5"/>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ustomHeight="1">
      <c r="A95" s="315"/>
      <c r="B95" s="341" t="s">
        <v>319</v>
      </c>
      <c r="C95" s="9"/>
      <c r="D95" s="9"/>
      <c r="E95" s="9"/>
      <c r="F95" s="9"/>
      <c r="G95" s="9"/>
      <c r="H95" s="9"/>
      <c r="I95" s="9"/>
      <c r="J95" s="9"/>
      <c r="K95" s="9"/>
      <c r="L95" s="395" t="s">
        <v>268</v>
      </c>
      <c r="M95" s="344">
        <f>SUM(M89:M94)</f>
        <v>0</v>
      </c>
      <c r="N95" s="344"/>
      <c r="O95" s="396">
        <f>SUM(O89:P94)</f>
        <v>0</v>
      </c>
      <c r="P95" s="396"/>
      <c r="Q95" s="396">
        <f>Q89</f>
        <v>0</v>
      </c>
      <c r="R95" s="396"/>
      <c r="S95"/>
      <c r="T95"/>
      <c r="U95"/>
      <c r="V95"/>
      <c r="W95"/>
      <c r="X95" s="5"/>
      <c r="Y95" s="44"/>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12.75" customHeight="1">
      <c r="A96" s="315"/>
      <c r="B96" s="397"/>
      <c r="C96" s="397"/>
      <c r="D96" s="397"/>
      <c r="E96" s="397"/>
      <c r="F96" s="397"/>
      <c r="G96" s="397"/>
      <c r="H96" s="397"/>
      <c r="I96" s="397"/>
      <c r="J96" s="397"/>
      <c r="K96" s="397"/>
      <c r="L96" s="397"/>
      <c r="M96" s="398"/>
      <c r="N96" s="87"/>
      <c r="O96" s="399"/>
      <c r="P96" s="400"/>
      <c r="Q96" s="11"/>
      <c r="R96" s="11"/>
      <c r="S96"/>
      <c r="T96"/>
      <c r="U96"/>
      <c r="V96"/>
      <c r="W96"/>
      <c r="X96" s="5"/>
      <c r="Y96" s="44"/>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2.75" customHeight="1" hidden="1">
      <c r="A97" s="315"/>
      <c r="B97" s="357"/>
      <c r="C97" s="357"/>
      <c r="D97" s="357"/>
      <c r="E97" s="385" t="s">
        <v>256</v>
      </c>
      <c r="F97" s="398"/>
      <c r="G97" s="398"/>
      <c r="H97" s="398"/>
      <c r="I97" s="398"/>
      <c r="J97" s="398"/>
      <c r="K97" s="398"/>
      <c r="L97" s="398"/>
      <c r="M97"/>
      <c r="N97"/>
      <c r="O97"/>
      <c r="P97"/>
      <c r="Q97" s="11"/>
      <c r="R97" s="11"/>
      <c r="S97"/>
      <c r="T97"/>
      <c r="U97"/>
      <c r="V97"/>
      <c r="W97"/>
      <c r="X97" s="5"/>
      <c r="Y97" s="44"/>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2.75" customHeight="1" hidden="1">
      <c r="A98" s="315"/>
      <c r="B98" s="386" t="s">
        <v>310</v>
      </c>
      <c r="C98" s="386"/>
      <c r="D98" s="386"/>
      <c r="E98" s="328" t="s">
        <v>275</v>
      </c>
      <c r="F98" s="328" t="s">
        <v>311</v>
      </c>
      <c r="G98" s="328" t="s">
        <v>277</v>
      </c>
      <c r="H98" s="387" t="s">
        <v>312</v>
      </c>
      <c r="I98" s="387"/>
      <c r="J98" s="387"/>
      <c r="K98" s="387"/>
      <c r="L98" s="387"/>
      <c r="M98" s="330" t="s">
        <v>279</v>
      </c>
      <c r="N98" s="330"/>
      <c r="O98" s="330"/>
      <c r="P98" s="330"/>
      <c r="Q98" s="330" t="s">
        <v>280</v>
      </c>
      <c r="R98" s="330"/>
      <c r="S98"/>
      <c r="T98"/>
      <c r="U98"/>
      <c r="V98"/>
      <c r="W98"/>
      <c r="X98" s="5"/>
      <c r="Y98" s="44"/>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5" customHeight="1" hidden="1">
      <c r="A99" s="315"/>
      <c r="B99" s="386"/>
      <c r="C99" s="386"/>
      <c r="D99" s="386"/>
      <c r="E99" s="328"/>
      <c r="F99" s="328"/>
      <c r="G99" s="328"/>
      <c r="H99" s="387"/>
      <c r="I99" s="387"/>
      <c r="J99" s="387"/>
      <c r="K99" s="387"/>
      <c r="L99" s="387"/>
      <c r="M99" s="330" t="s">
        <v>155</v>
      </c>
      <c r="N99" s="330"/>
      <c r="O99" s="330" t="s">
        <v>282</v>
      </c>
      <c r="P99" s="330"/>
      <c r="Q99" s="330"/>
      <c r="R99" s="330"/>
      <c r="S99" s="199"/>
      <c r="T99"/>
      <c r="U99"/>
      <c r="V99"/>
      <c r="W99"/>
      <c r="X99" s="5"/>
      <c r="Y99" s="44"/>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15" customHeight="1" hidden="1">
      <c r="A100" s="74"/>
      <c r="B100" s="348"/>
      <c r="C100" s="348"/>
      <c r="D100" s="348"/>
      <c r="E100" s="390"/>
      <c r="F100" s="338"/>
      <c r="G100" s="391">
        <v>0</v>
      </c>
      <c r="H100" s="392"/>
      <c r="I100" s="392"/>
      <c r="J100" s="392"/>
      <c r="K100" s="392"/>
      <c r="L100" s="392"/>
      <c r="M100" s="339">
        <f aca="true" t="shared" si="5" ref="M100:M105">(E100*F100*365)/1000</f>
        <v>0</v>
      </c>
      <c r="N100" s="339"/>
      <c r="O100" s="393">
        <f>M100*'household+building'!F$38</f>
        <v>0</v>
      </c>
      <c r="P100" s="393"/>
      <c r="Q100" s="393">
        <f>IF(H100=X100,Y100,IF(H100=$Y$87,$Z$87,IF(H100=$Y$88,$Z$88,IF(H100=$Y$89,$Z$89,IF(H100=$Y$90=$Z$90,IF(H100=$Y$91,$Z$91,IF(H100=$Y$92,$Z$92,0)))))))</f>
        <v>0</v>
      </c>
      <c r="R100" s="393"/>
      <c r="S100" s="19"/>
      <c r="T100"/>
      <c r="U100"/>
      <c r="V100"/>
      <c r="W100"/>
      <c r="X100" s="401"/>
      <c r="Y100"/>
      <c r="Z100"/>
      <c r="AA100"/>
      <c r="AB100"/>
      <c r="AC100" s="5"/>
      <c r="AD100" s="5"/>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5" customHeight="1" hidden="1">
      <c r="A101" s="315"/>
      <c r="B101" s="348"/>
      <c r="C101" s="348"/>
      <c r="D101" s="348"/>
      <c r="E101" s="390"/>
      <c r="F101" s="338"/>
      <c r="G101" s="391">
        <v>0</v>
      </c>
      <c r="H101" s="394"/>
      <c r="I101" s="394"/>
      <c r="J101" s="394"/>
      <c r="K101" s="394"/>
      <c r="L101" s="394"/>
      <c r="M101" s="339">
        <f t="shared" si="5"/>
        <v>0</v>
      </c>
      <c r="N101" s="339"/>
      <c r="O101" s="393">
        <f>M101*'household+building'!F$38</f>
        <v>0</v>
      </c>
      <c r="P101" s="393"/>
      <c r="Q101" s="394"/>
      <c r="R101" s="394"/>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15" customHeight="1" hidden="1">
      <c r="A102" s="315"/>
      <c r="B102" s="348"/>
      <c r="C102" s="348"/>
      <c r="D102" s="348"/>
      <c r="E102" s="390"/>
      <c r="F102" s="338"/>
      <c r="G102" s="391">
        <v>0</v>
      </c>
      <c r="H102" s="394"/>
      <c r="I102" s="394"/>
      <c r="J102" s="394"/>
      <c r="K102" s="394"/>
      <c r="L102" s="394"/>
      <c r="M102" s="339">
        <f t="shared" si="5"/>
        <v>0</v>
      </c>
      <c r="N102" s="339"/>
      <c r="O102" s="393">
        <f>M102*'household+building'!F$38</f>
        <v>0</v>
      </c>
      <c r="P102" s="393"/>
      <c r="Q102" s="394"/>
      <c r="R102" s="394"/>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15" customHeight="1" hidden="1">
      <c r="A103" s="315"/>
      <c r="B103" s="348"/>
      <c r="C103" s="348"/>
      <c r="D103" s="348"/>
      <c r="E103" s="390"/>
      <c r="F103" s="338"/>
      <c r="G103" s="391">
        <v>0</v>
      </c>
      <c r="H103" s="394"/>
      <c r="I103" s="394"/>
      <c r="J103" s="394"/>
      <c r="K103" s="394"/>
      <c r="L103" s="394"/>
      <c r="M103" s="339">
        <f t="shared" si="5"/>
        <v>0</v>
      </c>
      <c r="N103" s="339"/>
      <c r="O103" s="393">
        <f>M103*'household+building'!F$38</f>
        <v>0</v>
      </c>
      <c r="P103" s="393"/>
      <c r="Q103" s="394"/>
      <c r="R103" s="394"/>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15" customHeight="1" hidden="1">
      <c r="A104" s="315"/>
      <c r="B104" s="348"/>
      <c r="C104" s="348"/>
      <c r="D104" s="348"/>
      <c r="E104" s="390"/>
      <c r="F104" s="338"/>
      <c r="G104" s="391">
        <v>0</v>
      </c>
      <c r="H104" s="394"/>
      <c r="I104" s="394"/>
      <c r="J104" s="394"/>
      <c r="K104" s="394"/>
      <c r="L104" s="394"/>
      <c r="M104" s="339">
        <f t="shared" si="5"/>
        <v>0</v>
      </c>
      <c r="N104" s="339"/>
      <c r="O104" s="393">
        <f>M104*'household+building'!F$38</f>
        <v>0</v>
      </c>
      <c r="P104" s="393"/>
      <c r="Q104" s="394"/>
      <c r="R104" s="394"/>
      <c r="S104"/>
      <c r="T104"/>
      <c r="U104" s="198"/>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15" customHeight="1" hidden="1">
      <c r="A105" s="315"/>
      <c r="B105" s="348"/>
      <c r="C105" s="348"/>
      <c r="D105" s="348"/>
      <c r="E105" s="390"/>
      <c r="F105" s="338"/>
      <c r="G105" s="391">
        <v>0</v>
      </c>
      <c r="H105" s="394"/>
      <c r="I105" s="394"/>
      <c r="J105" s="394"/>
      <c r="K105" s="394"/>
      <c r="L105" s="394"/>
      <c r="M105" s="339">
        <f t="shared" si="5"/>
        <v>0</v>
      </c>
      <c r="N105" s="339"/>
      <c r="O105" s="393">
        <f>M105*'household+building'!F$38</f>
        <v>0</v>
      </c>
      <c r="P105" s="393"/>
      <c r="Q105" s="394"/>
      <c r="R105" s="394"/>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5" customHeight="1" hidden="1">
      <c r="A106" s="315"/>
      <c r="B106" s="341" t="s">
        <v>320</v>
      </c>
      <c r="C106" s="9"/>
      <c r="D106" s="9"/>
      <c r="E106" s="9"/>
      <c r="F106" s="9"/>
      <c r="G106" s="9"/>
      <c r="H106" s="9"/>
      <c r="I106" s="9"/>
      <c r="J106" s="9"/>
      <c r="K106" s="9"/>
      <c r="L106" s="395" t="s">
        <v>268</v>
      </c>
      <c r="M106" s="344">
        <f>SUM(M100:M105)</f>
        <v>0</v>
      </c>
      <c r="N106" s="344"/>
      <c r="O106" s="396">
        <f>SUM(O100:P105)</f>
        <v>0</v>
      </c>
      <c r="P106" s="396"/>
      <c r="Q106" s="396">
        <f>Q100</f>
        <v>0</v>
      </c>
      <c r="R106" s="39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18" s="11" customFormat="1" ht="15.75" customHeight="1">
      <c r="A107" s="372"/>
      <c r="B107" s="402"/>
      <c r="C107" s="138"/>
      <c r="D107" s="138"/>
      <c r="E107" s="138"/>
      <c r="F107" s="138"/>
      <c r="G107" s="138"/>
      <c r="H107" s="138"/>
      <c r="I107" s="138"/>
      <c r="J107" s="138"/>
      <c r="K107" s="138"/>
      <c r="L107" s="138"/>
      <c r="M107" s="138"/>
      <c r="N107" s="138"/>
      <c r="O107" s="138"/>
      <c r="P107" s="138"/>
      <c r="Q107" s="138"/>
      <c r="R107" s="138"/>
    </row>
    <row r="108" spans="1:30" ht="15.75" customHeight="1" hidden="1">
      <c r="A108" s="372"/>
      <c r="B108" s="58"/>
      <c r="C108" s="58"/>
      <c r="D108" s="58"/>
      <c r="E108" s="378" t="s">
        <v>256</v>
      </c>
      <c r="F108" s="138"/>
      <c r="G108" s="138"/>
      <c r="H108" s="138"/>
      <c r="I108" s="138"/>
      <c r="J108" s="138"/>
      <c r="K108" s="138"/>
      <c r="L108" s="138"/>
      <c r="Q108" s="138"/>
      <c r="R108" s="138"/>
      <c r="S108"/>
      <c r="T108"/>
      <c r="U108"/>
      <c r="V108"/>
      <c r="W108"/>
      <c r="X108"/>
      <c r="Y108"/>
      <c r="Z108"/>
      <c r="AA108"/>
      <c r="AB108"/>
      <c r="AC108"/>
      <c r="AD108"/>
    </row>
    <row r="109" spans="1:30" ht="14.25" customHeight="1" hidden="1">
      <c r="A109" s="372"/>
      <c r="B109" s="386"/>
      <c r="C109" s="386"/>
      <c r="D109" s="386"/>
      <c r="E109" s="328" t="s">
        <v>275</v>
      </c>
      <c r="F109" s="328" t="s">
        <v>311</v>
      </c>
      <c r="G109" s="328" t="s">
        <v>277</v>
      </c>
      <c r="H109" s="387" t="s">
        <v>312</v>
      </c>
      <c r="I109" s="387"/>
      <c r="J109" s="387"/>
      <c r="K109" s="387"/>
      <c r="L109" s="387"/>
      <c r="M109" s="330" t="s">
        <v>279</v>
      </c>
      <c r="N109" s="330"/>
      <c r="O109" s="330"/>
      <c r="P109" s="330"/>
      <c r="Q109" s="330" t="s">
        <v>280</v>
      </c>
      <c r="R109" s="330"/>
      <c r="S109"/>
      <c r="T109"/>
      <c r="U109"/>
      <c r="V109"/>
      <c r="W109"/>
      <c r="X109"/>
      <c r="Y109"/>
      <c r="Z109"/>
      <c r="AA109"/>
      <c r="AB109"/>
      <c r="AC109"/>
      <c r="AD109"/>
    </row>
    <row r="110" spans="1:30" ht="14.25" customHeight="1" hidden="1">
      <c r="A110" s="315"/>
      <c r="B110" s="386"/>
      <c r="C110" s="386"/>
      <c r="D110" s="386"/>
      <c r="E110" s="328"/>
      <c r="F110" s="328"/>
      <c r="G110" s="328"/>
      <c r="H110" s="387"/>
      <c r="I110" s="387"/>
      <c r="J110" s="387"/>
      <c r="K110" s="387"/>
      <c r="L110" s="387"/>
      <c r="M110" s="330" t="s">
        <v>155</v>
      </c>
      <c r="N110" s="330"/>
      <c r="O110" s="330" t="s">
        <v>282</v>
      </c>
      <c r="P110" s="330"/>
      <c r="Q110" s="330"/>
      <c r="R110" s="330"/>
      <c r="S110" s="199"/>
      <c r="T110"/>
      <c r="U110"/>
      <c r="V110"/>
      <c r="W110"/>
      <c r="X110"/>
      <c r="Y110"/>
      <c r="Z110"/>
      <c r="AA110"/>
      <c r="AB110"/>
      <c r="AC110"/>
      <c r="AD110"/>
    </row>
    <row r="111" spans="1:30" ht="15" customHeight="1" hidden="1">
      <c r="A111" s="74"/>
      <c r="B111" s="58"/>
      <c r="C111" s="58"/>
      <c r="D111" s="58"/>
      <c r="E111" s="390"/>
      <c r="F111" s="338"/>
      <c r="G111" s="391">
        <v>0</v>
      </c>
      <c r="H111" s="392"/>
      <c r="I111" s="392"/>
      <c r="J111" s="392"/>
      <c r="K111" s="392"/>
      <c r="L111" s="392"/>
      <c r="M111" s="339">
        <f aca="true" t="shared" si="6" ref="M111:M116">(E111*F111*365)/1000</f>
        <v>0</v>
      </c>
      <c r="N111" s="339"/>
      <c r="O111" s="393">
        <f>M111*'household+building'!F$38</f>
        <v>0</v>
      </c>
      <c r="P111" s="393"/>
      <c r="Q111" s="393">
        <f>IF(H111=X111,Y111,IF(H111=$Y$87,$Z$87,IF(H111=$Y$88,$Z$88,IF(H111=$Y$89,$Z$89,IF(H111=$Y$90=$Z$90,IF(H111=$Y$91,$Z$91,IF(H111=$Y$92,$Z$92,0)))))))</f>
        <v>0</v>
      </c>
      <c r="R111" s="393"/>
      <c r="S111" s="19"/>
      <c r="T111"/>
      <c r="U111"/>
      <c r="V111"/>
      <c r="W111"/>
      <c r="X111"/>
      <c r="Y111"/>
      <c r="Z111"/>
      <c r="AA111"/>
      <c r="AB111"/>
      <c r="AC111"/>
      <c r="AD111"/>
    </row>
    <row r="112" spans="1:30" ht="15" customHeight="1" hidden="1">
      <c r="A112" s="74"/>
      <c r="B112" s="58"/>
      <c r="C112" s="58"/>
      <c r="D112" s="58"/>
      <c r="E112" s="390"/>
      <c r="F112" s="338"/>
      <c r="G112" s="391">
        <v>0</v>
      </c>
      <c r="H112" s="394"/>
      <c r="I112" s="394"/>
      <c r="J112" s="394"/>
      <c r="K112" s="394"/>
      <c r="L112" s="394"/>
      <c r="M112" s="339">
        <f t="shared" si="6"/>
        <v>0</v>
      </c>
      <c r="N112" s="339"/>
      <c r="O112" s="393">
        <f>M112*'household+building'!F$38</f>
        <v>0</v>
      </c>
      <c r="P112" s="393"/>
      <c r="Q112" s="394"/>
      <c r="R112" s="394"/>
      <c r="S112" s="19"/>
      <c r="T112"/>
      <c r="U112"/>
      <c r="V112"/>
      <c r="W112"/>
      <c r="X112"/>
      <c r="Y112"/>
      <c r="Z112"/>
      <c r="AA112"/>
      <c r="AB112"/>
      <c r="AC112"/>
      <c r="AD112"/>
    </row>
    <row r="113" spans="1:30" ht="15" customHeight="1" hidden="1">
      <c r="A113" s="74"/>
      <c r="B113" s="58"/>
      <c r="C113" s="58"/>
      <c r="D113" s="58"/>
      <c r="E113" s="390"/>
      <c r="F113" s="338"/>
      <c r="G113" s="391">
        <v>0</v>
      </c>
      <c r="H113" s="394"/>
      <c r="I113" s="394"/>
      <c r="J113" s="394"/>
      <c r="K113" s="394"/>
      <c r="L113" s="394"/>
      <c r="M113" s="339">
        <f t="shared" si="6"/>
        <v>0</v>
      </c>
      <c r="N113" s="339"/>
      <c r="O113" s="393">
        <f>M113*'household+building'!F$38</f>
        <v>0</v>
      </c>
      <c r="P113" s="393"/>
      <c r="Q113" s="394"/>
      <c r="R113" s="394"/>
      <c r="S113" s="19"/>
      <c r="T113"/>
      <c r="U113"/>
      <c r="V113"/>
      <c r="W113"/>
      <c r="X113"/>
      <c r="Y113"/>
      <c r="Z113"/>
      <c r="AA113"/>
      <c r="AB113"/>
      <c r="AC113"/>
      <c r="AD113"/>
    </row>
    <row r="114" spans="1:30" ht="15" customHeight="1" hidden="1">
      <c r="A114" s="74"/>
      <c r="B114" s="58"/>
      <c r="C114" s="58"/>
      <c r="D114" s="58"/>
      <c r="E114" s="390"/>
      <c r="F114" s="338"/>
      <c r="G114" s="391">
        <v>0</v>
      </c>
      <c r="H114" s="394"/>
      <c r="I114" s="394"/>
      <c r="J114" s="394"/>
      <c r="K114" s="394"/>
      <c r="L114" s="394"/>
      <c r="M114" s="339">
        <f t="shared" si="6"/>
        <v>0</v>
      </c>
      <c r="N114" s="339"/>
      <c r="O114" s="393">
        <f>M114*'household+building'!F$38</f>
        <v>0</v>
      </c>
      <c r="P114" s="393"/>
      <c r="Q114" s="394"/>
      <c r="R114" s="394"/>
      <c r="S114" s="19"/>
      <c r="T114"/>
      <c r="U114"/>
      <c r="V114"/>
      <c r="W114"/>
      <c r="X114"/>
      <c r="Y114"/>
      <c r="Z114"/>
      <c r="AA114"/>
      <c r="AB114"/>
      <c r="AC114"/>
      <c r="AD114"/>
    </row>
    <row r="115" spans="1:30" ht="15" customHeight="1" hidden="1">
      <c r="A115" s="74"/>
      <c r="B115" s="58"/>
      <c r="C115" s="58"/>
      <c r="D115" s="58"/>
      <c r="E115" s="390"/>
      <c r="F115" s="338"/>
      <c r="G115" s="391">
        <v>0</v>
      </c>
      <c r="H115" s="394"/>
      <c r="I115" s="394"/>
      <c r="J115" s="394"/>
      <c r="K115" s="394"/>
      <c r="L115" s="394"/>
      <c r="M115" s="339">
        <f t="shared" si="6"/>
        <v>0</v>
      </c>
      <c r="N115" s="339"/>
      <c r="O115" s="393">
        <f>M115*'household+building'!F$38</f>
        <v>0</v>
      </c>
      <c r="P115" s="393"/>
      <c r="Q115" s="394"/>
      <c r="R115" s="394"/>
      <c r="S115" s="19"/>
      <c r="T115"/>
      <c r="U115"/>
      <c r="V115"/>
      <c r="W115"/>
      <c r="X115"/>
      <c r="Y115"/>
      <c r="Z115"/>
      <c r="AA115"/>
      <c r="AB115"/>
      <c r="AC115"/>
      <c r="AD115"/>
    </row>
    <row r="116" spans="1:30" ht="15" customHeight="1" hidden="1">
      <c r="A116" s="315"/>
      <c r="B116" s="58"/>
      <c r="C116" s="58"/>
      <c r="D116" s="58"/>
      <c r="E116" s="390"/>
      <c r="F116" s="338"/>
      <c r="G116" s="391">
        <v>0</v>
      </c>
      <c r="H116" s="394"/>
      <c r="I116" s="394"/>
      <c r="J116" s="394"/>
      <c r="K116" s="394"/>
      <c r="L116" s="394"/>
      <c r="M116" s="339">
        <f t="shared" si="6"/>
        <v>0</v>
      </c>
      <c r="N116" s="339"/>
      <c r="O116" s="393">
        <f>M116*'household+building'!F$38</f>
        <v>0</v>
      </c>
      <c r="P116" s="393"/>
      <c r="Q116" s="394"/>
      <c r="R116" s="394"/>
      <c r="S116"/>
      <c r="T116"/>
      <c r="U116"/>
      <c r="V116"/>
      <c r="W116"/>
      <c r="X116"/>
      <c r="Y116"/>
      <c r="Z116"/>
      <c r="AA116"/>
      <c r="AB116"/>
      <c r="AC116"/>
      <c r="AD116"/>
    </row>
    <row r="117" spans="1:30" ht="15" customHeight="1" hidden="1">
      <c r="A117" s="315"/>
      <c r="B117" s="341" t="s">
        <v>321</v>
      </c>
      <c r="C117" s="9"/>
      <c r="D117" s="9"/>
      <c r="E117" s="9"/>
      <c r="F117" s="9"/>
      <c r="G117" s="9"/>
      <c r="H117" s="9"/>
      <c r="I117" s="9"/>
      <c r="J117" s="9"/>
      <c r="K117" s="9"/>
      <c r="L117" s="395" t="s">
        <v>268</v>
      </c>
      <c r="M117" s="344">
        <f>SUM(M111:M116)</f>
        <v>0</v>
      </c>
      <c r="N117" s="344"/>
      <c r="O117" s="396">
        <f>SUM(O111:P116)</f>
        <v>0</v>
      </c>
      <c r="P117" s="396"/>
      <c r="Q117" s="396">
        <f>Q111</f>
        <v>0</v>
      </c>
      <c r="R117" s="396"/>
      <c r="S117"/>
      <c r="T117"/>
      <c r="U117"/>
      <c r="V117"/>
      <c r="W117"/>
      <c r="X117"/>
      <c r="Y117"/>
      <c r="Z117"/>
      <c r="AA117"/>
      <c r="AB117"/>
      <c r="AC117"/>
      <c r="AD117"/>
    </row>
    <row r="118" spans="1:30" ht="15" customHeight="1" hidden="1">
      <c r="A118" s="315"/>
      <c r="B118"/>
      <c r="C118" s="403"/>
      <c r="D118" s="403"/>
      <c r="E118" s="403"/>
      <c r="F118" s="403"/>
      <c r="G118" s="403"/>
      <c r="H118" s="403"/>
      <c r="I118" s="403"/>
      <c r="J118" s="403"/>
      <c r="K118" s="403"/>
      <c r="L118" s="403"/>
      <c r="M118" s="404"/>
      <c r="N118" s="404"/>
      <c r="O118" s="405"/>
      <c r="P118" s="406"/>
      <c r="Q118" s="407"/>
      <c r="R118" s="408"/>
      <c r="S118"/>
      <c r="T118"/>
      <c r="U118"/>
      <c r="V118"/>
      <c r="W118"/>
      <c r="X118"/>
      <c r="Y118"/>
      <c r="Z118"/>
      <c r="AA118"/>
      <c r="AB118"/>
      <c r="AC118"/>
      <c r="AD118"/>
    </row>
    <row r="119" spans="1:30" ht="15" customHeight="1" hidden="1">
      <c r="A119" s="315"/>
      <c r="B119" s="362" t="s">
        <v>297</v>
      </c>
      <c r="C119" s="138"/>
      <c r="D119" s="363"/>
      <c r="E119" s="364"/>
      <c r="F119" s="363"/>
      <c r="G119" s="363"/>
      <c r="H119" s="363"/>
      <c r="I119" s="363"/>
      <c r="J119" s="365"/>
      <c r="K119" s="366"/>
      <c r="L119" s="409"/>
      <c r="M119" s="409"/>
      <c r="N119" s="363"/>
      <c r="O119" s="368"/>
      <c r="P119" s="410"/>
      <c r="Q119" s="410"/>
      <c r="R119" s="363"/>
      <c r="S119"/>
      <c r="T119"/>
      <c r="U119"/>
      <c r="V119"/>
      <c r="W119"/>
      <c r="X119" s="5"/>
      <c r="Y119"/>
      <c r="Z119"/>
      <c r="AA119"/>
      <c r="AB119"/>
      <c r="AC119"/>
      <c r="AD119"/>
    </row>
    <row r="120" spans="1:30" ht="15" customHeight="1" hidden="1">
      <c r="A120" s="315"/>
      <c r="B120" s="370"/>
      <c r="C120" s="370"/>
      <c r="D120" s="370"/>
      <c r="E120" s="370"/>
      <c r="F120" s="370"/>
      <c r="G120" s="370"/>
      <c r="H120" s="370"/>
      <c r="I120" s="370"/>
      <c r="J120" s="370"/>
      <c r="K120" s="370"/>
      <c r="L120" s="370"/>
      <c r="M120" s="370"/>
      <c r="N120" s="370"/>
      <c r="O120" s="370"/>
      <c r="P120" s="370"/>
      <c r="Q120" s="370"/>
      <c r="R120" s="370"/>
      <c r="S120"/>
      <c r="T120"/>
      <c r="U120"/>
      <c r="V120"/>
      <c r="W120"/>
      <c r="X120" s="5"/>
      <c r="Y120"/>
      <c r="Z120"/>
      <c r="AA120"/>
      <c r="AB120"/>
      <c r="AC120"/>
      <c r="AD120"/>
    </row>
    <row r="121" spans="1:30" ht="15" customHeight="1" hidden="1">
      <c r="A121" s="315"/>
      <c r="B121" s="371"/>
      <c r="C121" s="371"/>
      <c r="D121" s="371"/>
      <c r="E121" s="371"/>
      <c r="F121" s="371"/>
      <c r="G121" s="371"/>
      <c r="H121" s="371"/>
      <c r="I121" s="371"/>
      <c r="J121" s="371"/>
      <c r="K121" s="371"/>
      <c r="L121" s="371"/>
      <c r="M121" s="371"/>
      <c r="N121" s="371"/>
      <c r="O121" s="371"/>
      <c r="P121" s="371"/>
      <c r="Q121" s="371"/>
      <c r="R121" s="371"/>
      <c r="S121"/>
      <c r="T121"/>
      <c r="U121"/>
      <c r="V121"/>
      <c r="W121"/>
      <c r="X121" s="5"/>
      <c r="Y121"/>
      <c r="Z121"/>
      <c r="AA121"/>
      <c r="AB121"/>
      <c r="AC121"/>
      <c r="AD121"/>
    </row>
    <row r="122" spans="1:30" ht="15" customHeight="1" hidden="1">
      <c r="A122" s="315"/>
      <c r="B122" s="74" t="s">
        <v>322</v>
      </c>
      <c r="C122" s="74"/>
      <c r="D122" s="74"/>
      <c r="E122" s="74"/>
      <c r="F122" s="74"/>
      <c r="G122" s="74"/>
      <c r="H122" s="74"/>
      <c r="I122" s="74"/>
      <c r="J122" s="74"/>
      <c r="K122" s="74"/>
      <c r="L122" s="74"/>
      <c r="M122" s="74"/>
      <c r="N122" s="74"/>
      <c r="O122" s="74"/>
      <c r="P122" s="74"/>
      <c r="Q122" s="74"/>
      <c r="R122" s="74"/>
      <c r="S122"/>
      <c r="T122"/>
      <c r="U122"/>
      <c r="V122"/>
      <c r="W122"/>
      <c r="X122"/>
      <c r="Y122"/>
      <c r="Z122"/>
      <c r="AA122"/>
      <c r="AB122"/>
      <c r="AC122"/>
      <c r="AD122"/>
    </row>
    <row r="123" spans="1:30" ht="15" customHeight="1" hidden="1">
      <c r="A123" s="315"/>
      <c r="B123" s="74" t="s">
        <v>323</v>
      </c>
      <c r="C123" s="74"/>
      <c r="D123" s="74"/>
      <c r="E123" s="74"/>
      <c r="F123" s="74"/>
      <c r="G123" s="74"/>
      <c r="H123" s="74"/>
      <c r="I123" s="74"/>
      <c r="J123" s="74"/>
      <c r="K123" s="74"/>
      <c r="L123" s="74"/>
      <c r="M123" s="74"/>
      <c r="N123" s="74"/>
      <c r="O123" s="74"/>
      <c r="P123" s="74"/>
      <c r="Q123" s="74"/>
      <c r="R123" s="74"/>
      <c r="S123"/>
      <c r="T123"/>
      <c r="U123"/>
      <c r="V123"/>
      <c r="W123"/>
      <c r="X123"/>
      <c r="Y123"/>
      <c r="Z123"/>
      <c r="AA123"/>
      <c r="AB123"/>
      <c r="AC123"/>
      <c r="AD123"/>
    </row>
    <row r="124" spans="1:30" ht="15" customHeight="1" hidden="1">
      <c r="A124" s="315"/>
      <c r="B124" s="74" t="s">
        <v>324</v>
      </c>
      <c r="C124" s="74"/>
      <c r="D124" s="74"/>
      <c r="E124" s="74"/>
      <c r="F124" s="74"/>
      <c r="G124" s="74"/>
      <c r="H124" s="74"/>
      <c r="I124" s="74"/>
      <c r="J124" s="74"/>
      <c r="K124" s="74"/>
      <c r="L124" s="74"/>
      <c r="M124" s="74"/>
      <c r="N124" s="74"/>
      <c r="O124" s="74"/>
      <c r="P124" s="74"/>
      <c r="Q124" s="74"/>
      <c r="R124" s="74"/>
      <c r="S124"/>
      <c r="T124"/>
      <c r="U124"/>
      <c r="V124"/>
      <c r="W124"/>
      <c r="X124"/>
      <c r="Y124"/>
      <c r="Z124"/>
      <c r="AA124"/>
      <c r="AB124"/>
      <c r="AC124"/>
      <c r="AD124"/>
    </row>
    <row r="125" spans="1:30" ht="15" customHeight="1" hidden="1">
      <c r="A125" s="315"/>
      <c r="B125" s="74"/>
      <c r="C125" s="74"/>
      <c r="D125" s="74"/>
      <c r="E125" s="74"/>
      <c r="F125" s="74"/>
      <c r="G125" s="74"/>
      <c r="H125" s="74"/>
      <c r="I125" s="74"/>
      <c r="J125" s="74"/>
      <c r="K125" s="74"/>
      <c r="L125" s="74"/>
      <c r="M125" s="74"/>
      <c r="N125" s="74"/>
      <c r="O125" s="74"/>
      <c r="P125" s="74"/>
      <c r="Q125" s="74"/>
      <c r="R125" s="74"/>
      <c r="S125"/>
      <c r="T125"/>
      <c r="U125"/>
      <c r="V125"/>
      <c r="W125"/>
      <c r="X125"/>
      <c r="Y125"/>
      <c r="Z125"/>
      <c r="AA125"/>
      <c r="AB125"/>
      <c r="AC125"/>
      <c r="AD125"/>
    </row>
    <row r="126" spans="1:30" ht="15" customHeight="1" hidden="1">
      <c r="A126" s="315"/>
      <c r="B126" s="74"/>
      <c r="C126" s="74"/>
      <c r="D126" s="74"/>
      <c r="E126" s="74"/>
      <c r="F126" s="74"/>
      <c r="G126" s="74"/>
      <c r="H126" s="74"/>
      <c r="I126" s="74"/>
      <c r="J126" s="74"/>
      <c r="K126" s="74"/>
      <c r="L126" s="74"/>
      <c r="M126" s="74"/>
      <c r="N126" s="74"/>
      <c r="O126" s="74"/>
      <c r="P126" s="74"/>
      <c r="Q126" s="74"/>
      <c r="R126" s="74"/>
      <c r="S126"/>
      <c r="T126"/>
      <c r="U126"/>
      <c r="V126"/>
      <c r="W126"/>
      <c r="X126"/>
      <c r="Y126"/>
      <c r="Z126"/>
      <c r="AA126"/>
      <c r="AB126"/>
      <c r="AC126"/>
      <c r="AD126"/>
    </row>
    <row r="127" spans="1:30" ht="15" customHeight="1" hidden="1">
      <c r="A127" s="315"/>
      <c r="B127"/>
      <c r="C127" s="411"/>
      <c r="D127" s="411"/>
      <c r="E127" s="411"/>
      <c r="F127" s="411"/>
      <c r="G127" s="411"/>
      <c r="H127" s="411"/>
      <c r="I127" s="411"/>
      <c r="J127" s="411"/>
      <c r="K127" s="411"/>
      <c r="L127" s="411"/>
      <c r="M127" s="412"/>
      <c r="N127" s="412"/>
      <c r="O127" s="413"/>
      <c r="P127" s="414"/>
      <c r="Q127" s="415"/>
      <c r="R127" s="416"/>
      <c r="S127"/>
      <c r="T127"/>
      <c r="U127"/>
      <c r="V127"/>
      <c r="W127"/>
      <c r="X127"/>
      <c r="Y127"/>
      <c r="Z127"/>
      <c r="AA127"/>
      <c r="AB127"/>
      <c r="AC127"/>
      <c r="AD127"/>
    </row>
    <row r="128" spans="1:30" ht="3.75" customHeight="1" hidden="1">
      <c r="A128" s="95"/>
      <c r="B128" s="95"/>
      <c r="C128" s="95"/>
      <c r="D128" s="95"/>
      <c r="E128" s="95"/>
      <c r="F128" s="95"/>
      <c r="G128" s="95"/>
      <c r="H128" s="95"/>
      <c r="I128" s="95"/>
      <c r="J128" s="95"/>
      <c r="K128" s="95"/>
      <c r="L128" s="96"/>
      <c r="M128" s="96"/>
      <c r="N128" s="95"/>
      <c r="O128" s="95"/>
      <c r="P128" s="95"/>
      <c r="Q128" s="95"/>
      <c r="R128" s="95"/>
      <c r="S128" s="417"/>
      <c r="T128" s="94"/>
      <c r="U128"/>
      <c r="V128"/>
      <c r="W128"/>
      <c r="X128"/>
      <c r="Y128"/>
      <c r="Z128"/>
      <c r="AA128"/>
      <c r="AB128"/>
      <c r="AC128"/>
      <c r="AD128"/>
    </row>
    <row r="129" spans="1:30" ht="22.5" customHeight="1" hidden="1">
      <c r="A129" s="376"/>
      <c r="B129" s="377" t="s">
        <v>325</v>
      </c>
      <c r="C129" s="378"/>
      <c r="D129" s="378"/>
      <c r="E129" s="378"/>
      <c r="F129" s="378"/>
      <c r="G129" s="378"/>
      <c r="H129" s="378"/>
      <c r="I129" s="378"/>
      <c r="J129" s="378"/>
      <c r="K129"/>
      <c r="L129"/>
      <c r="M129"/>
      <c r="N129"/>
      <c r="O129"/>
      <c r="P129"/>
      <c r="Q129"/>
      <c r="R129" s="418"/>
      <c r="S129"/>
      <c r="T129"/>
      <c r="U129"/>
      <c r="V129"/>
      <c r="W129" s="49"/>
      <c r="X129"/>
      <c r="Y129"/>
      <c r="Z129"/>
      <c r="AA129"/>
      <c r="AB129"/>
      <c r="AC129"/>
      <c r="AD129"/>
    </row>
    <row r="130" spans="1:30" ht="8.25" customHeight="1" hidden="1">
      <c r="A130" s="376"/>
      <c r="B130" s="381"/>
      <c r="C130" s="378"/>
      <c r="D130" s="378"/>
      <c r="E130" s="378"/>
      <c r="F130" s="378"/>
      <c r="G130" s="378"/>
      <c r="H130" s="378"/>
      <c r="I130" s="378"/>
      <c r="J130" s="378"/>
      <c r="K130"/>
      <c r="L130"/>
      <c r="M130"/>
      <c r="N130"/>
      <c r="O130"/>
      <c r="P130"/>
      <c r="Q130"/>
      <c r="R130"/>
      <c r="S130"/>
      <c r="T130"/>
      <c r="U130"/>
      <c r="V130"/>
      <c r="W130"/>
      <c r="X130"/>
      <c r="Y130"/>
      <c r="Z130"/>
      <c r="AA130"/>
      <c r="AB130"/>
      <c r="AC130" s="192"/>
      <c r="AD130"/>
    </row>
    <row r="131" spans="1:30" ht="15" customHeight="1" hidden="1">
      <c r="A131" s="376"/>
      <c r="B131" s="419"/>
      <c r="C131" s="378"/>
      <c r="D131" s="378"/>
      <c r="E131" s="378"/>
      <c r="F131" s="87" t="s">
        <v>233</v>
      </c>
      <c r="G131" s="147">
        <f>'household+building'!G105:M105</f>
        <v>0</v>
      </c>
      <c r="H131" s="147"/>
      <c r="I131" s="147"/>
      <c r="J131" s="147"/>
      <c r="K131" s="147"/>
      <c r="L131" s="196"/>
      <c r="M131"/>
      <c r="N131"/>
      <c r="O131" s="194"/>
      <c r="P131" s="194"/>
      <c r="Q131" s="194"/>
      <c r="R131" s="347" t="s">
        <v>326</v>
      </c>
      <c r="S131" s="196"/>
      <c r="T131" s="196"/>
      <c r="U131" s="196"/>
      <c r="V131" s="196"/>
      <c r="W131" s="196"/>
      <c r="X131" s="196"/>
      <c r="Y131" s="196"/>
      <c r="Z131" s="196"/>
      <c r="AA131" s="196"/>
      <c r="AB131" s="196"/>
      <c r="AC131" s="196"/>
      <c r="AD131" s="196"/>
    </row>
    <row r="132" spans="1:30" ht="12.75" customHeight="1" hidden="1">
      <c r="A132" s="74"/>
      <c r="B132" s="44"/>
      <c r="C132" s="74"/>
      <c r="D132" s="74"/>
      <c r="E132" s="74"/>
      <c r="F132" s="87" t="s">
        <v>235</v>
      </c>
      <c r="G132" s="147">
        <f>'household+building'!G106:M106</f>
        <v>0</v>
      </c>
      <c r="H132" s="147"/>
      <c r="I132" s="147"/>
      <c r="J132" s="147"/>
      <c r="K132" s="147"/>
      <c r="L132"/>
      <c r="M132" s="82"/>
      <c r="N132" s="420"/>
      <c r="O132" s="420"/>
      <c r="P132" s="194"/>
      <c r="Q132" s="194"/>
      <c r="R132" s="110"/>
      <c r="S132"/>
      <c r="T132"/>
      <c r="X132" s="401"/>
      <c r="Y132"/>
      <c r="Z132"/>
      <c r="AC132"/>
      <c r="AD132"/>
    </row>
    <row r="133" spans="1:30" ht="9" customHeight="1" hidden="1">
      <c r="A133" s="74"/>
      <c r="B133"/>
      <c r="C133" s="74"/>
      <c r="D133" s="74"/>
      <c r="E133" s="74"/>
      <c r="F133" s="74"/>
      <c r="G133" s="421"/>
      <c r="H133" s="422"/>
      <c r="I133" s="422"/>
      <c r="J133" s="44"/>
      <c r="K133" s="148"/>
      <c r="L133" s="138"/>
      <c r="M133" s="138"/>
      <c r="N133" s="138"/>
      <c r="O133" s="138"/>
      <c r="P133" s="138"/>
      <c r="Q133" s="138"/>
      <c r="R133"/>
      <c r="S133"/>
      <c r="T133"/>
      <c r="X133" s="423"/>
      <c r="Y133"/>
      <c r="Z133"/>
      <c r="AC133"/>
      <c r="AD133"/>
    </row>
    <row r="134" spans="1:30" ht="12.75" customHeight="1" hidden="1">
      <c r="A134" s="74"/>
      <c r="B134" s="326" t="s">
        <v>256</v>
      </c>
      <c r="C134" s="326"/>
      <c r="D134" s="326"/>
      <c r="E134" s="328"/>
      <c r="F134" s="328"/>
      <c r="G134" s="328"/>
      <c r="H134" s="327" t="s">
        <v>327</v>
      </c>
      <c r="I134" s="327"/>
      <c r="J134" s="327"/>
      <c r="K134" s="327"/>
      <c r="L134" s="327"/>
      <c r="M134" s="330" t="s">
        <v>279</v>
      </c>
      <c r="N134" s="330"/>
      <c r="O134" s="330"/>
      <c r="P134" s="330"/>
      <c r="Q134" s="330" t="s">
        <v>280</v>
      </c>
      <c r="R134" s="330"/>
      <c r="S134" s="424"/>
      <c r="T134" s="424"/>
      <c r="X134" s="423"/>
      <c r="Y134"/>
      <c r="Z134"/>
      <c r="AC134"/>
      <c r="AD134"/>
    </row>
    <row r="135" spans="1:30" ht="15" customHeight="1" hidden="1">
      <c r="A135" s="74"/>
      <c r="B135" s="326"/>
      <c r="C135" s="326"/>
      <c r="D135" s="326"/>
      <c r="E135" s="328"/>
      <c r="F135" s="328"/>
      <c r="G135" s="328"/>
      <c r="H135" s="327"/>
      <c r="I135" s="327"/>
      <c r="J135" s="327"/>
      <c r="K135" s="327"/>
      <c r="L135" s="327"/>
      <c r="M135" s="330" t="s">
        <v>155</v>
      </c>
      <c r="N135" s="330"/>
      <c r="O135" s="330" t="s">
        <v>282</v>
      </c>
      <c r="P135" s="330"/>
      <c r="Q135" s="330"/>
      <c r="R135" s="330"/>
      <c r="S135" s="424"/>
      <c r="T135" s="424"/>
      <c r="X135"/>
      <c r="Y135"/>
      <c r="Z135"/>
      <c r="AC135"/>
      <c r="AD135"/>
    </row>
    <row r="136" spans="1:30" ht="15" customHeight="1" hidden="1">
      <c r="A136" s="44"/>
      <c r="B136" s="425"/>
      <c r="C136" s="425"/>
      <c r="D136" s="425"/>
      <c r="E136" s="426" t="s">
        <v>328</v>
      </c>
      <c r="F136" s="426"/>
      <c r="G136" s="401"/>
      <c r="H136" s="427"/>
      <c r="I136" s="427"/>
      <c r="J136" s="427"/>
      <c r="K136" s="427"/>
      <c r="L136" s="427"/>
      <c r="M136" s="339">
        <f aca="true" t="shared" si="7" ref="M136:M138">IF(H136="thermostopp",200,IF(H136="clock timer",80,0))</f>
        <v>0</v>
      </c>
      <c r="N136" s="339"/>
      <c r="O136" s="428">
        <f>M136*'household+building'!F$38</f>
        <v>0</v>
      </c>
      <c r="P136" s="428"/>
      <c r="Q136" s="393">
        <f aca="true" t="shared" si="8" ref="Q136:Q138">IF(H136="thermostopp",$Z$138,IF(H136="clock timer",$Z$137,0))</f>
        <v>0</v>
      </c>
      <c r="R136" s="393"/>
      <c r="S136" s="429"/>
      <c r="T136"/>
      <c r="X136"/>
      <c r="Y136"/>
      <c r="Z136"/>
      <c r="AC136" s="192"/>
      <c r="AD136" s="185"/>
    </row>
    <row r="137" spans="1:30" ht="15" customHeight="1" hidden="1">
      <c r="A137" s="44"/>
      <c r="B137" s="425"/>
      <c r="C137" s="425"/>
      <c r="D137" s="425"/>
      <c r="E137" s="426" t="s">
        <v>329</v>
      </c>
      <c r="F137" s="426"/>
      <c r="G137" s="401"/>
      <c r="H137" s="427"/>
      <c r="I137" s="427"/>
      <c r="J137" s="427"/>
      <c r="K137" s="427"/>
      <c r="L137" s="427"/>
      <c r="M137" s="339">
        <f t="shared" si="7"/>
        <v>0</v>
      </c>
      <c r="N137" s="339"/>
      <c r="O137" s="428">
        <f>M137*'household+building'!F$38</f>
        <v>0</v>
      </c>
      <c r="P137" s="428"/>
      <c r="Q137" s="393">
        <f t="shared" si="8"/>
        <v>0</v>
      </c>
      <c r="R137" s="393"/>
      <c r="S137"/>
      <c r="T137" s="430"/>
      <c r="X137" s="5" t="s">
        <v>285</v>
      </c>
      <c r="Y137" s="5">
        <f>'data devices+costs'!B41</f>
        <v>0</v>
      </c>
      <c r="Z137" s="431">
        <f>'data devices+costs'!D41</f>
        <v>0</v>
      </c>
      <c r="AD137" s="185"/>
    </row>
    <row r="138" spans="1:30" ht="15" customHeight="1" hidden="1">
      <c r="A138" s="44"/>
      <c r="B138" s="425"/>
      <c r="C138" s="425"/>
      <c r="D138" s="425"/>
      <c r="E138" s="426" t="s">
        <v>328</v>
      </c>
      <c r="F138" s="432"/>
      <c r="G138" s="401"/>
      <c r="H138" s="427"/>
      <c r="I138" s="427"/>
      <c r="J138" s="427"/>
      <c r="K138" s="427"/>
      <c r="L138" s="427"/>
      <c r="M138" s="339">
        <f t="shared" si="7"/>
        <v>0</v>
      </c>
      <c r="N138" s="339"/>
      <c r="O138" s="428">
        <f>M138*'household+building'!F$38</f>
        <v>0</v>
      </c>
      <c r="P138" s="428"/>
      <c r="Q138" s="393">
        <f t="shared" si="8"/>
        <v>0</v>
      </c>
      <c r="R138" s="393"/>
      <c r="S138" s="11"/>
      <c r="X138" s="5" t="s">
        <v>286</v>
      </c>
      <c r="Y138" s="5">
        <f>'data devices+costs'!B42</f>
        <v>0</v>
      </c>
      <c r="Z138" s="431">
        <f>'data devices+costs'!D42</f>
        <v>0</v>
      </c>
      <c r="AD138" s="185"/>
    </row>
    <row r="139" spans="1:24" ht="13.5" customHeight="1" hidden="1">
      <c r="A139" s="44"/>
      <c r="B139" s="341" t="s">
        <v>320</v>
      </c>
      <c r="C139" s="9"/>
      <c r="D139" s="9"/>
      <c r="E139" s="9"/>
      <c r="F139" s="9"/>
      <c r="G139" s="9"/>
      <c r="H139" s="9"/>
      <c r="I139" s="9"/>
      <c r="J139" s="9"/>
      <c r="K139" s="9"/>
      <c r="L139" s="395" t="s">
        <v>268</v>
      </c>
      <c r="M139" s="344">
        <f>SUM(M133:M138)</f>
        <v>0</v>
      </c>
      <c r="N139" s="344"/>
      <c r="O139" s="396">
        <f>SUM(O133:P138)</f>
        <v>0</v>
      </c>
      <c r="P139" s="396"/>
      <c r="Q139" s="396">
        <f>SUM(Q136:R138)</f>
        <v>0</v>
      </c>
      <c r="R139" s="396"/>
      <c r="X139" s="5" t="s">
        <v>330</v>
      </c>
    </row>
    <row r="140" spans="1:18" ht="6" customHeight="1" hidden="1">
      <c r="A140" s="44"/>
      <c r="B140" s="433"/>
      <c r="C140" s="44"/>
      <c r="D140" s="44"/>
      <c r="E140" s="44"/>
      <c r="F140" s="44"/>
      <c r="G140" s="44"/>
      <c r="H140" s="44"/>
      <c r="I140" s="138"/>
      <c r="J140" s="44"/>
      <c r="K140" s="46"/>
      <c r="L140" s="44"/>
      <c r="M140" s="74"/>
      <c r="N140" s="74"/>
      <c r="O140" s="74"/>
      <c r="P140" s="74"/>
      <c r="Q140"/>
      <c r="R140"/>
    </row>
    <row r="141" spans="1:18" ht="12.75" hidden="1">
      <c r="A141" s="5"/>
      <c r="B141" s="362" t="s">
        <v>297</v>
      </c>
      <c r="C141" s="138"/>
      <c r="D141" s="363"/>
      <c r="E141" s="364"/>
      <c r="F141" s="363"/>
      <c r="G141" s="363"/>
      <c r="H141" s="363"/>
      <c r="I141" s="363"/>
      <c r="J141" s="365"/>
      <c r="K141" s="366"/>
      <c r="L141" s="366"/>
      <c r="M141" s="366"/>
      <c r="N141" s="363"/>
      <c r="O141" s="363"/>
      <c r="P141" s="363"/>
      <c r="Q141" s="363"/>
      <c r="R141" s="363"/>
    </row>
    <row r="142" spans="1:18" ht="12.75" hidden="1">
      <c r="A142" s="5"/>
      <c r="B142" s="370"/>
      <c r="C142" s="370"/>
      <c r="D142" s="370"/>
      <c r="E142" s="370"/>
      <c r="F142" s="370"/>
      <c r="G142" s="370"/>
      <c r="H142" s="370"/>
      <c r="I142" s="370"/>
      <c r="J142" s="370"/>
      <c r="K142" s="370"/>
      <c r="L142" s="370"/>
      <c r="M142" s="370"/>
      <c r="N142" s="370"/>
      <c r="O142" s="370"/>
      <c r="P142" s="370"/>
      <c r="Q142" s="370"/>
      <c r="R142" s="370"/>
    </row>
    <row r="143" spans="1:18" ht="12.75" hidden="1">
      <c r="A143" s="5"/>
      <c r="B143" s="371"/>
      <c r="C143" s="371"/>
      <c r="D143" s="371"/>
      <c r="E143" s="371"/>
      <c r="F143" s="371"/>
      <c r="G143" s="371"/>
      <c r="H143" s="371"/>
      <c r="I143" s="371"/>
      <c r="J143" s="371"/>
      <c r="K143" s="371"/>
      <c r="L143" s="371"/>
      <c r="M143" s="371"/>
      <c r="N143" s="371"/>
      <c r="O143" s="371"/>
      <c r="P143" s="371"/>
      <c r="Q143" s="371"/>
      <c r="R143" s="371"/>
    </row>
    <row r="144" spans="1:18" ht="12" customHeight="1" hidden="1">
      <c r="A144" s="5"/>
      <c r="B144" s="434" t="s">
        <v>331</v>
      </c>
      <c r="C144" s="434"/>
      <c r="D144" s="434"/>
      <c r="E144" s="434"/>
      <c r="F144" s="434"/>
      <c r="G144" s="434"/>
      <c r="H144" s="434"/>
      <c r="I144" s="434"/>
      <c r="J144" s="434"/>
      <c r="K144" s="434"/>
      <c r="L144" s="434"/>
      <c r="M144" s="434"/>
      <c r="N144" s="434"/>
      <c r="O144" s="434"/>
      <c r="P144" s="434"/>
      <c r="Q144" s="434"/>
      <c r="R144" s="434"/>
    </row>
    <row r="145" spans="1:18" ht="12.75" hidden="1">
      <c r="A145" s="5"/>
      <c r="B145" s="74" t="s">
        <v>332</v>
      </c>
      <c r="C145" s="74"/>
      <c r="D145" s="74"/>
      <c r="E145" s="74"/>
      <c r="F145" s="74"/>
      <c r="G145" s="74"/>
      <c r="H145" s="74"/>
      <c r="I145" s="74"/>
      <c r="J145" s="74"/>
      <c r="K145" s="74"/>
      <c r="L145" s="74"/>
      <c r="M145" s="74"/>
      <c r="N145" s="74"/>
      <c r="O145" s="74"/>
      <c r="P145" s="74"/>
      <c r="Q145" s="74"/>
      <c r="R145" s="74"/>
    </row>
    <row r="146" spans="1:18" ht="12.75" hidden="1">
      <c r="A146" s="5"/>
      <c r="B146" s="74" t="s">
        <v>333</v>
      </c>
      <c r="C146" s="74"/>
      <c r="D146" s="74"/>
      <c r="E146" s="74"/>
      <c r="F146" s="74"/>
      <c r="G146" s="74"/>
      <c r="H146" s="74"/>
      <c r="I146" s="74"/>
      <c r="J146" s="74"/>
      <c r="K146" s="74"/>
      <c r="L146" s="74"/>
      <c r="M146" s="74"/>
      <c r="N146" s="74"/>
      <c r="O146" s="74"/>
      <c r="P146" s="74"/>
      <c r="Q146" s="74"/>
      <c r="R146" s="74"/>
    </row>
    <row r="147" spans="1:18" ht="12.75" hidden="1">
      <c r="A147"/>
      <c r="B147" s="74" t="s">
        <v>334</v>
      </c>
      <c r="C147" s="74"/>
      <c r="D147" s="74"/>
      <c r="E147" s="74"/>
      <c r="F147" s="74"/>
      <c r="G147" s="74"/>
      <c r="H147" s="74"/>
      <c r="I147" s="74"/>
      <c r="J147" s="74"/>
      <c r="K147" s="74"/>
      <c r="L147" s="74"/>
      <c r="M147" s="74"/>
      <c r="N147" s="74"/>
      <c r="O147" s="74"/>
      <c r="P147" s="74"/>
      <c r="Q147" s="74"/>
      <c r="R147" s="74"/>
    </row>
    <row r="148" spans="1:18" ht="12.75" hidden="1">
      <c r="A148"/>
      <c r="B148" s="74" t="s">
        <v>335</v>
      </c>
      <c r="C148" s="74"/>
      <c r="D148" s="74"/>
      <c r="E148" s="74"/>
      <c r="F148" s="74"/>
      <c r="G148" s="74"/>
      <c r="H148" s="74"/>
      <c r="I148" s="74"/>
      <c r="J148" s="74"/>
      <c r="K148" s="74"/>
      <c r="L148" s="74"/>
      <c r="M148" s="74"/>
      <c r="N148" s="74"/>
      <c r="O148" s="74"/>
      <c r="P148" s="74"/>
      <c r="Q148" s="74"/>
      <c r="R148" s="74"/>
    </row>
    <row r="167" ht="12.75"/>
    <row r="168" ht="12.75"/>
    <row r="169" ht="12.75"/>
    <row r="170" ht="12.75"/>
    <row r="171" ht="12.75"/>
    <row r="178" ht="12.75"/>
    <row r="179" ht="12.75"/>
    <row r="180" ht="12.75"/>
    <row r="181" ht="12.75"/>
  </sheetData>
  <sheetProtection selectLockedCells="1" selectUnlockedCells="1"/>
  <mergeCells count="403">
    <mergeCell ref="Q3:R3"/>
    <mergeCell ref="N7:O7"/>
    <mergeCell ref="N8:O8"/>
    <mergeCell ref="B13:D14"/>
    <mergeCell ref="E13:E14"/>
    <mergeCell ref="F13:F14"/>
    <mergeCell ref="G13:G14"/>
    <mergeCell ref="H13:L14"/>
    <mergeCell ref="M13:P13"/>
    <mergeCell ref="Q13:R14"/>
    <mergeCell ref="M14:N14"/>
    <mergeCell ref="O14:P14"/>
    <mergeCell ref="B15:D15"/>
    <mergeCell ref="H15:K15"/>
    <mergeCell ref="M15:N15"/>
    <mergeCell ref="O15:P15"/>
    <mergeCell ref="Q15:R15"/>
    <mergeCell ref="B16:D16"/>
    <mergeCell ref="H16:K16"/>
    <mergeCell ref="M16:N16"/>
    <mergeCell ref="O16:P16"/>
    <mergeCell ref="Q16:R16"/>
    <mergeCell ref="B17:D17"/>
    <mergeCell ref="H17:K17"/>
    <mergeCell ref="M17:N17"/>
    <mergeCell ref="O17:P17"/>
    <mergeCell ref="Q17:R17"/>
    <mergeCell ref="B18:D18"/>
    <mergeCell ref="H18:K18"/>
    <mergeCell ref="M18:N18"/>
    <mergeCell ref="O18:P18"/>
    <mergeCell ref="Q18:R18"/>
    <mergeCell ref="B19:D19"/>
    <mergeCell ref="H19:K19"/>
    <mergeCell ref="M19:N19"/>
    <mergeCell ref="O19:P19"/>
    <mergeCell ref="Q19:R19"/>
    <mergeCell ref="B20:D20"/>
    <mergeCell ref="H20:K20"/>
    <mergeCell ref="M20:N20"/>
    <mergeCell ref="O20:P20"/>
    <mergeCell ref="Q20:R20"/>
    <mergeCell ref="B21:D21"/>
    <mergeCell ref="H21:K21"/>
    <mergeCell ref="M21:N21"/>
    <mergeCell ref="O21:P21"/>
    <mergeCell ref="Q21:R21"/>
    <mergeCell ref="B22:D22"/>
    <mergeCell ref="H22:K22"/>
    <mergeCell ref="M22:N22"/>
    <mergeCell ref="O22:P22"/>
    <mergeCell ref="Q22:R22"/>
    <mergeCell ref="B23:D23"/>
    <mergeCell ref="H23:K23"/>
    <mergeCell ref="M23:N23"/>
    <mergeCell ref="O23:P23"/>
    <mergeCell ref="Q23:R23"/>
    <mergeCell ref="B24:D24"/>
    <mergeCell ref="H24:K24"/>
    <mergeCell ref="M24:N24"/>
    <mergeCell ref="O24:P24"/>
    <mergeCell ref="Q24:R24"/>
    <mergeCell ref="M25:N25"/>
    <mergeCell ref="O25:P25"/>
    <mergeCell ref="Q25:R25"/>
    <mergeCell ref="B27:D28"/>
    <mergeCell ref="E27:E28"/>
    <mergeCell ref="F27:F28"/>
    <mergeCell ref="G27:G28"/>
    <mergeCell ref="H27:L28"/>
    <mergeCell ref="M27:P27"/>
    <mergeCell ref="Q27:R28"/>
    <mergeCell ref="M28:N28"/>
    <mergeCell ref="O28:P28"/>
    <mergeCell ref="B29:D29"/>
    <mergeCell ref="H29:K29"/>
    <mergeCell ref="M29:N29"/>
    <mergeCell ref="O29:P29"/>
    <mergeCell ref="Q29:R29"/>
    <mergeCell ref="B30:D30"/>
    <mergeCell ref="H30:K30"/>
    <mergeCell ref="M30:N30"/>
    <mergeCell ref="O30:P30"/>
    <mergeCell ref="Q30:R30"/>
    <mergeCell ref="B31:D31"/>
    <mergeCell ref="H31:K31"/>
    <mergeCell ref="M31:N31"/>
    <mergeCell ref="O31:P31"/>
    <mergeCell ref="Q31:R31"/>
    <mergeCell ref="B32:D32"/>
    <mergeCell ref="H32:K32"/>
    <mergeCell ref="M32:N32"/>
    <mergeCell ref="O32:P32"/>
    <mergeCell ref="Q32:R32"/>
    <mergeCell ref="B33:D33"/>
    <mergeCell ref="H33:K33"/>
    <mergeCell ref="M33:N33"/>
    <mergeCell ref="O33:P33"/>
    <mergeCell ref="Q33:R33"/>
    <mergeCell ref="B34:D34"/>
    <mergeCell ref="H34:K34"/>
    <mergeCell ref="M34:N34"/>
    <mergeCell ref="O34:P34"/>
    <mergeCell ref="Q34:R34"/>
    <mergeCell ref="B35:D35"/>
    <mergeCell ref="H35:K35"/>
    <mergeCell ref="M35:N35"/>
    <mergeCell ref="O35:P35"/>
    <mergeCell ref="Q35:R35"/>
    <mergeCell ref="B36:D36"/>
    <mergeCell ref="H36:K36"/>
    <mergeCell ref="M36:N36"/>
    <mergeCell ref="O36:P36"/>
    <mergeCell ref="Q36:R36"/>
    <mergeCell ref="B37:D37"/>
    <mergeCell ref="H37:K37"/>
    <mergeCell ref="M37:N37"/>
    <mergeCell ref="O37:P37"/>
    <mergeCell ref="Q37:R37"/>
    <mergeCell ref="B38:D38"/>
    <mergeCell ref="H38:K38"/>
    <mergeCell ref="M38:N38"/>
    <mergeCell ref="O38:P38"/>
    <mergeCell ref="Q38:R38"/>
    <mergeCell ref="M39:N39"/>
    <mergeCell ref="O39:P39"/>
    <mergeCell ref="Q39:R39"/>
    <mergeCell ref="B41:D42"/>
    <mergeCell ref="E41:E42"/>
    <mergeCell ref="F41:F42"/>
    <mergeCell ref="G41:G42"/>
    <mergeCell ref="H41:L42"/>
    <mergeCell ref="M41:P41"/>
    <mergeCell ref="Q41:R42"/>
    <mergeCell ref="M42:N42"/>
    <mergeCell ref="O42:P42"/>
    <mergeCell ref="B43:D43"/>
    <mergeCell ref="H43:K43"/>
    <mergeCell ref="M43:N43"/>
    <mergeCell ref="O43:P43"/>
    <mergeCell ref="Q43:R43"/>
    <mergeCell ref="B44:D44"/>
    <mergeCell ref="H44:K44"/>
    <mergeCell ref="M44:N44"/>
    <mergeCell ref="O44:P44"/>
    <mergeCell ref="Q44:R44"/>
    <mergeCell ref="B45:D45"/>
    <mergeCell ref="H45:K45"/>
    <mergeCell ref="M45:N45"/>
    <mergeCell ref="O45:P45"/>
    <mergeCell ref="Q45:R45"/>
    <mergeCell ref="B46:D46"/>
    <mergeCell ref="H46:K46"/>
    <mergeCell ref="M46:N46"/>
    <mergeCell ref="O46:P46"/>
    <mergeCell ref="Q46:R46"/>
    <mergeCell ref="B47:D47"/>
    <mergeCell ref="H47:K47"/>
    <mergeCell ref="M47:N47"/>
    <mergeCell ref="O47:P47"/>
    <mergeCell ref="Q47:R47"/>
    <mergeCell ref="B48:D48"/>
    <mergeCell ref="H48:K48"/>
    <mergeCell ref="M48:N48"/>
    <mergeCell ref="O48:P48"/>
    <mergeCell ref="Q48:R48"/>
    <mergeCell ref="B49:D49"/>
    <mergeCell ref="H49:K49"/>
    <mergeCell ref="M49:N49"/>
    <mergeCell ref="O49:P49"/>
    <mergeCell ref="Q49:R49"/>
    <mergeCell ref="B50:D50"/>
    <mergeCell ref="H50:K50"/>
    <mergeCell ref="M50:N50"/>
    <mergeCell ref="O50:P50"/>
    <mergeCell ref="Q50:R50"/>
    <mergeCell ref="B51:D51"/>
    <mergeCell ref="H51:K51"/>
    <mergeCell ref="M51:N51"/>
    <mergeCell ref="O51:P51"/>
    <mergeCell ref="Q51:R51"/>
    <mergeCell ref="B52:D52"/>
    <mergeCell ref="H52:K52"/>
    <mergeCell ref="M52:N52"/>
    <mergeCell ref="O52:P52"/>
    <mergeCell ref="Q52:R52"/>
    <mergeCell ref="M53:N53"/>
    <mergeCell ref="O53:P53"/>
    <mergeCell ref="Q53:R53"/>
    <mergeCell ref="B55:D56"/>
    <mergeCell ref="E55:E56"/>
    <mergeCell ref="F55:F56"/>
    <mergeCell ref="G55:G56"/>
    <mergeCell ref="H55:L56"/>
    <mergeCell ref="M55:P55"/>
    <mergeCell ref="Q55:R56"/>
    <mergeCell ref="M56:N56"/>
    <mergeCell ref="O56:P56"/>
    <mergeCell ref="B57:D57"/>
    <mergeCell ref="H57:K57"/>
    <mergeCell ref="M57:N57"/>
    <mergeCell ref="O57:P57"/>
    <mergeCell ref="Q57:R57"/>
    <mergeCell ref="B58:D58"/>
    <mergeCell ref="H58:K58"/>
    <mergeCell ref="M58:N58"/>
    <mergeCell ref="O58:P58"/>
    <mergeCell ref="Q58:R58"/>
    <mergeCell ref="B59:D59"/>
    <mergeCell ref="H59:K59"/>
    <mergeCell ref="M59:N59"/>
    <mergeCell ref="O59:P59"/>
    <mergeCell ref="Q59:R59"/>
    <mergeCell ref="B60:D60"/>
    <mergeCell ref="H60:K60"/>
    <mergeCell ref="M60:N60"/>
    <mergeCell ref="O60:P60"/>
    <mergeCell ref="Q60:R60"/>
    <mergeCell ref="B61:D61"/>
    <mergeCell ref="H61:K61"/>
    <mergeCell ref="M61:N61"/>
    <mergeCell ref="O61:P61"/>
    <mergeCell ref="Q61:R61"/>
    <mergeCell ref="B62:D62"/>
    <mergeCell ref="H62:K62"/>
    <mergeCell ref="M62:N62"/>
    <mergeCell ref="O62:P62"/>
    <mergeCell ref="Q62:R62"/>
    <mergeCell ref="B63:D63"/>
    <mergeCell ref="H63:K63"/>
    <mergeCell ref="M63:N63"/>
    <mergeCell ref="O63:P63"/>
    <mergeCell ref="Q63:R63"/>
    <mergeCell ref="B64:D64"/>
    <mergeCell ref="H64:K64"/>
    <mergeCell ref="M64:N64"/>
    <mergeCell ref="O64:P64"/>
    <mergeCell ref="Q64:R64"/>
    <mergeCell ref="B65:D65"/>
    <mergeCell ref="H65:K65"/>
    <mergeCell ref="M65:N65"/>
    <mergeCell ref="O65:P65"/>
    <mergeCell ref="Q65:R65"/>
    <mergeCell ref="B66:D66"/>
    <mergeCell ref="H66:K66"/>
    <mergeCell ref="M66:N66"/>
    <mergeCell ref="O66:P66"/>
    <mergeCell ref="Q66:R66"/>
    <mergeCell ref="M67:N67"/>
    <mergeCell ref="O67:P67"/>
    <mergeCell ref="Q67:R67"/>
    <mergeCell ref="L69:M69"/>
    <mergeCell ref="P69:Q69"/>
    <mergeCell ref="B70:R70"/>
    <mergeCell ref="B71:R71"/>
    <mergeCell ref="B86:D86"/>
    <mergeCell ref="B87:D88"/>
    <mergeCell ref="E87:E88"/>
    <mergeCell ref="F87:F88"/>
    <mergeCell ref="G87:G88"/>
    <mergeCell ref="H87:L88"/>
    <mergeCell ref="M87:P87"/>
    <mergeCell ref="Q87:R88"/>
    <mergeCell ref="M88:N88"/>
    <mergeCell ref="O88:P88"/>
    <mergeCell ref="B89:D89"/>
    <mergeCell ref="H89:L89"/>
    <mergeCell ref="M89:N89"/>
    <mergeCell ref="O89:P89"/>
    <mergeCell ref="Q89:R89"/>
    <mergeCell ref="B90:D90"/>
    <mergeCell ref="H90:L94"/>
    <mergeCell ref="M90:N90"/>
    <mergeCell ref="O90:P90"/>
    <mergeCell ref="Q90:R94"/>
    <mergeCell ref="B91:D91"/>
    <mergeCell ref="M91:N91"/>
    <mergeCell ref="O91:P91"/>
    <mergeCell ref="B92:D92"/>
    <mergeCell ref="M92:N92"/>
    <mergeCell ref="O92:P92"/>
    <mergeCell ref="B93:D93"/>
    <mergeCell ref="M93:N93"/>
    <mergeCell ref="O93:P93"/>
    <mergeCell ref="B94:D94"/>
    <mergeCell ref="M94:N94"/>
    <mergeCell ref="O94:P94"/>
    <mergeCell ref="M95:N95"/>
    <mergeCell ref="O95:P95"/>
    <mergeCell ref="Q95:R95"/>
    <mergeCell ref="B97:D97"/>
    <mergeCell ref="B98:D99"/>
    <mergeCell ref="E98:E99"/>
    <mergeCell ref="F98:F99"/>
    <mergeCell ref="G98:G99"/>
    <mergeCell ref="H98:L99"/>
    <mergeCell ref="M98:P98"/>
    <mergeCell ref="Q98:R99"/>
    <mergeCell ref="M99:N99"/>
    <mergeCell ref="O99:P99"/>
    <mergeCell ref="B100:D100"/>
    <mergeCell ref="H100:L100"/>
    <mergeCell ref="M100:N100"/>
    <mergeCell ref="O100:P100"/>
    <mergeCell ref="Q100:R100"/>
    <mergeCell ref="B101:D101"/>
    <mergeCell ref="H101:L105"/>
    <mergeCell ref="M101:N101"/>
    <mergeCell ref="O101:P101"/>
    <mergeCell ref="Q101:R105"/>
    <mergeCell ref="B102:D102"/>
    <mergeCell ref="M102:N102"/>
    <mergeCell ref="O102:P102"/>
    <mergeCell ref="B103:D103"/>
    <mergeCell ref="M103:N103"/>
    <mergeCell ref="O103:P103"/>
    <mergeCell ref="B104:D104"/>
    <mergeCell ref="M104:N104"/>
    <mergeCell ref="O104:P104"/>
    <mergeCell ref="B105:D105"/>
    <mergeCell ref="M105:N105"/>
    <mergeCell ref="O105:P105"/>
    <mergeCell ref="M106:N106"/>
    <mergeCell ref="O106:P106"/>
    <mergeCell ref="Q106:R106"/>
    <mergeCell ref="B108:D108"/>
    <mergeCell ref="B109:D110"/>
    <mergeCell ref="E109:E110"/>
    <mergeCell ref="F109:F110"/>
    <mergeCell ref="G109:G110"/>
    <mergeCell ref="H109:L110"/>
    <mergeCell ref="M109:P109"/>
    <mergeCell ref="Q109:R110"/>
    <mergeCell ref="M110:N110"/>
    <mergeCell ref="O110:P110"/>
    <mergeCell ref="B111:D111"/>
    <mergeCell ref="H111:L111"/>
    <mergeCell ref="M111:N111"/>
    <mergeCell ref="O111:P111"/>
    <mergeCell ref="Q111:R111"/>
    <mergeCell ref="B112:D112"/>
    <mergeCell ref="H112:L116"/>
    <mergeCell ref="M112:N112"/>
    <mergeCell ref="O112:P112"/>
    <mergeCell ref="Q112:R116"/>
    <mergeCell ref="B113:D113"/>
    <mergeCell ref="M113:N113"/>
    <mergeCell ref="O113:P113"/>
    <mergeCell ref="B114:D114"/>
    <mergeCell ref="M114:N114"/>
    <mergeCell ref="O114:P114"/>
    <mergeCell ref="B115:D115"/>
    <mergeCell ref="M115:N115"/>
    <mergeCell ref="O115:P115"/>
    <mergeCell ref="B116:D116"/>
    <mergeCell ref="M116:N116"/>
    <mergeCell ref="O116:P116"/>
    <mergeCell ref="M117:N117"/>
    <mergeCell ref="O117:P117"/>
    <mergeCell ref="Q117:R117"/>
    <mergeCell ref="L119:M119"/>
    <mergeCell ref="P119:Q119"/>
    <mergeCell ref="B120:R120"/>
    <mergeCell ref="B121:R121"/>
    <mergeCell ref="B122:R122"/>
    <mergeCell ref="B123:R123"/>
    <mergeCell ref="B124:R124"/>
    <mergeCell ref="B125:R125"/>
    <mergeCell ref="B126:R126"/>
    <mergeCell ref="G131:K131"/>
    <mergeCell ref="G132:K132"/>
    <mergeCell ref="B134:D135"/>
    <mergeCell ref="E134:G135"/>
    <mergeCell ref="H134:L135"/>
    <mergeCell ref="M134:P134"/>
    <mergeCell ref="Q134:R135"/>
    <mergeCell ref="M135:N135"/>
    <mergeCell ref="O135:P135"/>
    <mergeCell ref="B136:D136"/>
    <mergeCell ref="H136:L136"/>
    <mergeCell ref="M136:N136"/>
    <mergeCell ref="O136:P136"/>
    <mergeCell ref="Q136:R136"/>
    <mergeCell ref="B137:D137"/>
    <mergeCell ref="H137:L137"/>
    <mergeCell ref="M137:N137"/>
    <mergeCell ref="O137:P137"/>
    <mergeCell ref="Q137:R137"/>
    <mergeCell ref="B138:D138"/>
    <mergeCell ref="H138:L138"/>
    <mergeCell ref="M138:N138"/>
    <mergeCell ref="O138:P138"/>
    <mergeCell ref="Q138:R138"/>
    <mergeCell ref="M139:N139"/>
    <mergeCell ref="O139:P139"/>
    <mergeCell ref="Q139:R139"/>
    <mergeCell ref="B142:R142"/>
    <mergeCell ref="B143:R143"/>
    <mergeCell ref="B144:R144"/>
    <mergeCell ref="B145:R145"/>
    <mergeCell ref="B146:R146"/>
    <mergeCell ref="B147:R147"/>
    <mergeCell ref="B148:R148"/>
  </mergeCells>
  <conditionalFormatting sqref="H89:H90 Q90 H100:H101 Q101 Q112 H111:H112">
    <cfRule type="expression" priority="1" dxfId="4" stopIfTrue="1">
      <formula>$B89="Sonstiges"</formula>
    </cfRule>
  </conditionalFormatting>
  <conditionalFormatting sqref="H43:I52 H15:I24 H29:I38 H57:I66">
    <cfRule type="expression" priority="2" dxfId="4" stopIfTrue="1">
      <formula>"#ref!"&lt;&gt;""</formula>
    </cfRule>
  </conditionalFormatting>
  <dataValidations count="15">
    <dataValidation allowBlank="1" showInputMessage="1" showErrorMessage="1" prompt="Please choose the relevant tipp or remark from the list and copy it into this box, or add your own remark " sqref="B70 B120">
      <formula1>0</formula1>
      <formula2>0</formula2>
    </dataValidation>
    <dataValidation type="list" allowBlank="1" showErrorMessage="1" sqref="H136:L138">
      <formula1>$Y$136:$Y$138</formula1>
      <formula2>0</formula2>
    </dataValidation>
    <dataValidation type="list" showErrorMessage="1" sqref="B136:D138">
      <formula1>$X$136:$X$139</formula1>
      <formula2>0</formula2>
    </dataValidation>
    <dataValidation type="list" allowBlank="1" showErrorMessage="1" sqref="B86:D86 B97:D97 B108:D108">
      <formula1>$X$12:$X$23</formula1>
      <formula2>0</formula2>
    </dataValidation>
    <dataValidation type="list" allowBlank="1" showErrorMessage="1" sqref="C89:D94 C100:D105 B105">
      <formula1>$X$86:$X$99</formula1>
      <formula2>0</formula2>
    </dataValidation>
    <dataValidation type="list" allowBlank="1" showErrorMessage="1" sqref="B112:D116 H112:L115">
      <formula1>$X$100:$X$106</formula1>
      <formula2>0</formula2>
    </dataValidation>
    <dataValidation type="list" allowBlank="1" showErrorMessage="1" sqref="B111:D111">
      <formula1>$X$86:$X$99</formula1>
      <formula2>0</formula2>
    </dataValidation>
    <dataValidation type="list" showErrorMessage="1" sqref="B15:D24 B29:D38 B43:D52 B57:D66">
      <formula1>$X$12:$X$23</formula1>
      <formula2>0</formula2>
    </dataValidation>
    <dataValidation allowBlank="1" showInputMessage="1" showErrorMessage="1" prompt="Please choose the relevant tipp or remark from the list and copy it into this box, or add your own remark. " sqref="B142:R142">
      <formula1>0</formula1>
      <formula2>0</formula2>
    </dataValidation>
    <dataValidation type="list" showErrorMessage="1" sqref="H43:K52">
      <formula1>$Y$41:$Y$46</formula1>
      <formula2>0</formula2>
    </dataValidation>
    <dataValidation type="list" showErrorMessage="1" sqref="H29:K38">
      <formula1>$Y$28:$Y$32</formula1>
      <formula2>0</formula2>
    </dataValidation>
    <dataValidation type="list" showErrorMessage="1" sqref="H15:K24">
      <formula1>$Y$12:$Y$20</formula1>
      <formula2>0</formula2>
    </dataValidation>
    <dataValidation type="list" allowBlank="1" showErrorMessage="1" sqref="H89:L89 H100:L100 H111:L111">
      <formula1>$Y$86:$Y$92</formula1>
      <formula2>0</formula2>
    </dataValidation>
    <dataValidation type="list" showErrorMessage="1" sqref="H57:K66">
      <formula1>$Y$55:$Y$58</formula1>
      <formula2>0</formula2>
    </dataValidation>
    <dataValidation type="list" allowBlank="1" showErrorMessage="1" sqref="B89:B94 B100:B104">
      <formula1>'light, standby'!$X$81:$X$93</formula1>
      <formula2>0</formula2>
    </dataValidation>
  </dataValidations>
  <printOptions/>
  <pageMargins left="0.7875" right="0.7875" top="0.9840277777777777" bottom="0.9840277777777777" header="0.5118055555555555" footer="0.5118055555555555"/>
  <pageSetup horizontalDpi="300" verticalDpi="300"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tabColor indexed="17"/>
  </sheetPr>
  <dimension ref="A1:K43"/>
  <sheetViews>
    <sheetView workbookViewId="0" topLeftCell="A1">
      <selection activeCell="F5" sqref="F5"/>
    </sheetView>
  </sheetViews>
  <sheetFormatPr defaultColWidth="9.140625" defaultRowHeight="12" customHeight="1"/>
  <cols>
    <col min="1" max="1" width="17.7109375" style="245" customWidth="1"/>
    <col min="2" max="2" width="16.7109375" style="245" customWidth="1"/>
    <col min="3" max="3" width="25.7109375" style="245" customWidth="1"/>
    <col min="4" max="4" width="8.7109375" style="245" customWidth="1"/>
    <col min="5" max="5" width="8.8515625" style="245" customWidth="1"/>
    <col min="6" max="6" width="11.140625" style="245" customWidth="1"/>
    <col min="7" max="7" width="10.00390625" style="245" customWidth="1"/>
    <col min="8" max="8" width="9.7109375" style="245" customWidth="1"/>
    <col min="9" max="9" width="9.57421875" style="245" customWidth="1"/>
    <col min="10" max="10" width="11.421875" style="245" customWidth="1"/>
    <col min="11" max="11" width="35.7109375" style="245" customWidth="1"/>
    <col min="12" max="16384" width="11.421875" style="245" customWidth="1"/>
  </cols>
  <sheetData>
    <row r="1" spans="1:11" ht="36.75" customHeight="1">
      <c r="A1" s="435" t="s">
        <v>336</v>
      </c>
      <c r="B1" s="435"/>
      <c r="C1" s="435"/>
      <c r="D1" s="435"/>
      <c r="E1" s="435"/>
      <c r="F1" s="435"/>
      <c r="G1" s="435"/>
      <c r="H1" s="435"/>
      <c r="I1" s="435"/>
      <c r="J1" s="435"/>
      <c r="K1" s="435"/>
    </row>
    <row r="3" spans="1:11" s="246" customFormat="1" ht="16.5" customHeight="1">
      <c r="A3" s="436" t="s">
        <v>337</v>
      </c>
      <c r="B3" s="250">
        <f>'household+building'!G26</f>
        <v>0</v>
      </c>
      <c r="C3" s="436" t="s">
        <v>338</v>
      </c>
      <c r="D3" s="247">
        <f>'household+building'!F62</f>
        <v>0</v>
      </c>
      <c r="E3" s="248" t="s">
        <v>339</v>
      </c>
      <c r="F3" s="437"/>
      <c r="H3" s="436" t="s">
        <v>340</v>
      </c>
      <c r="I3" s="250">
        <f>'household+building'!J66</f>
        <v>0</v>
      </c>
      <c r="J3" s="251" t="s">
        <v>98</v>
      </c>
      <c r="K3" s="251"/>
    </row>
    <row r="4" spans="1:11" s="439" customFormat="1" ht="15" customHeight="1">
      <c r="A4" s="438"/>
      <c r="B4" s="438"/>
      <c r="C4" s="246"/>
      <c r="D4" s="246"/>
      <c r="E4" s="246"/>
      <c r="F4" s="246"/>
      <c r="G4" s="246"/>
      <c r="H4" s="246"/>
      <c r="I4" s="246"/>
      <c r="J4" s="246"/>
      <c r="K4" s="246"/>
    </row>
    <row r="5" spans="1:11" ht="42.75" customHeight="1">
      <c r="A5" s="257" t="s">
        <v>256</v>
      </c>
      <c r="B5" s="259" t="s">
        <v>341</v>
      </c>
      <c r="C5" s="259" t="s">
        <v>342</v>
      </c>
      <c r="D5" s="262" t="s">
        <v>343</v>
      </c>
      <c r="E5" s="262" t="s">
        <v>344</v>
      </c>
      <c r="F5" s="440" t="s">
        <v>345</v>
      </c>
      <c r="G5" s="262" t="s">
        <v>346</v>
      </c>
      <c r="H5" s="262" t="s">
        <v>347</v>
      </c>
      <c r="I5" s="259" t="s">
        <v>348</v>
      </c>
      <c r="J5" s="259" t="s">
        <v>349</v>
      </c>
      <c r="K5" s="259" t="s">
        <v>350</v>
      </c>
    </row>
    <row r="6" spans="1:11" ht="29.25" customHeight="1">
      <c r="A6" s="441"/>
      <c r="B6" s="442" t="s">
        <v>351</v>
      </c>
      <c r="C6" s="443"/>
      <c r="D6" s="444"/>
      <c r="E6" s="445"/>
      <c r="F6" s="446" t="s">
        <v>345</v>
      </c>
      <c r="G6" s="447" t="s">
        <v>352</v>
      </c>
      <c r="H6" s="448"/>
      <c r="I6" s="449"/>
      <c r="J6" s="446"/>
      <c r="K6" s="446"/>
    </row>
    <row r="7" spans="1:11" ht="21" customHeight="1">
      <c r="A7" s="272"/>
      <c r="B7" s="450" t="s">
        <v>351</v>
      </c>
      <c r="C7" s="295" t="s">
        <v>353</v>
      </c>
      <c r="D7" s="295" t="s">
        <v>353</v>
      </c>
      <c r="E7" s="295" t="s">
        <v>353</v>
      </c>
      <c r="F7" s="273">
        <v>5</v>
      </c>
      <c r="G7" s="274">
        <v>4</v>
      </c>
      <c r="H7" s="451" t="s">
        <v>353</v>
      </c>
      <c r="I7" s="452">
        <f aca="true" t="shared" si="0" ref="I7:I9">F7*G7*365*$B$3/1000</f>
        <v>0</v>
      </c>
      <c r="J7" s="453">
        <f aca="true" t="shared" si="1" ref="J7:J9">I7*$D$3</f>
        <v>0</v>
      </c>
      <c r="K7" s="454" t="s">
        <v>354</v>
      </c>
    </row>
    <row r="8" spans="1:11" ht="25.5" customHeight="1">
      <c r="A8" s="272"/>
      <c r="B8" s="450" t="s">
        <v>351</v>
      </c>
      <c r="C8" s="295" t="s">
        <v>353</v>
      </c>
      <c r="D8" s="295" t="s">
        <v>353</v>
      </c>
      <c r="E8" s="295" t="s">
        <v>353</v>
      </c>
      <c r="F8" s="273"/>
      <c r="G8" s="274"/>
      <c r="H8" s="451" t="s">
        <v>353</v>
      </c>
      <c r="I8" s="452">
        <f t="shared" si="0"/>
        <v>0</v>
      </c>
      <c r="J8" s="453">
        <f t="shared" si="1"/>
        <v>0</v>
      </c>
      <c r="K8" s="454"/>
    </row>
    <row r="9" spans="1:11" ht="21" customHeight="1" hidden="1">
      <c r="A9" s="280"/>
      <c r="B9" s="280"/>
      <c r="C9" s="455"/>
      <c r="D9" s="295" t="s">
        <v>353</v>
      </c>
      <c r="E9" s="295" t="s">
        <v>353</v>
      </c>
      <c r="F9" s="273"/>
      <c r="G9" s="279"/>
      <c r="H9" s="451" t="s">
        <v>353</v>
      </c>
      <c r="I9" s="452">
        <f t="shared" si="0"/>
        <v>0</v>
      </c>
      <c r="J9" s="453">
        <f t="shared" si="1"/>
        <v>0</v>
      </c>
      <c r="K9" s="454"/>
    </row>
    <row r="10" spans="1:11" ht="27" customHeight="1">
      <c r="A10" s="456"/>
      <c r="B10" s="457" t="s">
        <v>355</v>
      </c>
      <c r="C10" s="458"/>
      <c r="D10" s="459"/>
      <c r="E10" s="447" t="s">
        <v>356</v>
      </c>
      <c r="F10" s="460"/>
      <c r="G10" s="461" t="s">
        <v>357</v>
      </c>
      <c r="H10" s="462"/>
      <c r="I10" s="462"/>
      <c r="J10" s="463"/>
      <c r="K10" s="464"/>
    </row>
    <row r="11" spans="1:11" ht="24" customHeight="1">
      <c r="A11" s="272"/>
      <c r="B11" s="450" t="s">
        <v>355</v>
      </c>
      <c r="C11" s="295" t="s">
        <v>353</v>
      </c>
      <c r="D11" s="273"/>
      <c r="E11" s="273">
        <v>3</v>
      </c>
      <c r="F11" s="295" t="s">
        <v>353</v>
      </c>
      <c r="G11" s="274"/>
      <c r="H11" s="451" t="s">
        <v>353</v>
      </c>
      <c r="I11" s="452">
        <f aca="true" t="shared" si="2" ref="I11:I12">(D11*E11*G11*$B$3*52)/1000</f>
        <v>0</v>
      </c>
      <c r="J11" s="453">
        <f aca="true" t="shared" si="3" ref="J11:J12">I11*$D$3</f>
        <v>0</v>
      </c>
      <c r="K11" s="454" t="s">
        <v>354</v>
      </c>
    </row>
    <row r="12" spans="1:11" ht="21" customHeight="1">
      <c r="A12" s="272"/>
      <c r="B12" s="450" t="s">
        <v>355</v>
      </c>
      <c r="C12" s="295" t="s">
        <v>353</v>
      </c>
      <c r="D12" s="273"/>
      <c r="E12" s="273"/>
      <c r="F12" s="295" t="s">
        <v>353</v>
      </c>
      <c r="G12" s="274"/>
      <c r="H12" s="451" t="s">
        <v>353</v>
      </c>
      <c r="I12" s="452">
        <f t="shared" si="2"/>
        <v>0</v>
      </c>
      <c r="J12" s="453">
        <f t="shared" si="3"/>
        <v>0</v>
      </c>
      <c r="K12" s="454"/>
    </row>
    <row r="13" spans="1:11" ht="30" customHeight="1">
      <c r="A13" s="456"/>
      <c r="B13" s="457" t="s">
        <v>358</v>
      </c>
      <c r="C13" s="465" t="s">
        <v>359</v>
      </c>
      <c r="D13" s="459"/>
      <c r="E13" s="447" t="s">
        <v>360</v>
      </c>
      <c r="F13" s="459"/>
      <c r="G13" s="462"/>
      <c r="H13" s="462"/>
      <c r="I13" s="462"/>
      <c r="J13" s="463"/>
      <c r="K13" s="464"/>
    </row>
    <row r="14" spans="1:11" ht="21" customHeight="1">
      <c r="A14" s="272"/>
      <c r="B14" s="450" t="s">
        <v>358</v>
      </c>
      <c r="C14" s="454"/>
      <c r="D14" s="273"/>
      <c r="E14" s="274">
        <v>3</v>
      </c>
      <c r="F14" s="295" t="s">
        <v>353</v>
      </c>
      <c r="G14" s="295" t="s">
        <v>353</v>
      </c>
      <c r="H14" s="451" t="s">
        <v>353</v>
      </c>
      <c r="I14" s="452">
        <f aca="true" t="shared" si="4" ref="I14:I19">D14*E14*$B$3*365/1000</f>
        <v>0</v>
      </c>
      <c r="J14" s="453">
        <f aca="true" t="shared" si="5" ref="J14:J19">I14*$D$3</f>
        <v>0</v>
      </c>
      <c r="K14" s="454" t="s">
        <v>354</v>
      </c>
    </row>
    <row r="15" spans="1:11" ht="21" customHeight="1">
      <c r="A15" s="272"/>
      <c r="B15" s="450" t="s">
        <v>358</v>
      </c>
      <c r="C15" s="454"/>
      <c r="D15" s="273"/>
      <c r="E15" s="274">
        <v>3</v>
      </c>
      <c r="F15" s="295" t="s">
        <v>353</v>
      </c>
      <c r="G15" s="295" t="s">
        <v>353</v>
      </c>
      <c r="H15" s="451" t="s">
        <v>353</v>
      </c>
      <c r="I15" s="452">
        <f t="shared" si="4"/>
        <v>0</v>
      </c>
      <c r="J15" s="453">
        <f t="shared" si="5"/>
        <v>0</v>
      </c>
      <c r="K15" s="454" t="s">
        <v>354</v>
      </c>
    </row>
    <row r="16" spans="1:11" ht="21" customHeight="1">
      <c r="A16" s="272"/>
      <c r="B16" s="450" t="s">
        <v>358</v>
      </c>
      <c r="C16" s="454"/>
      <c r="D16" s="273"/>
      <c r="E16" s="274"/>
      <c r="F16" s="466" t="s">
        <v>353</v>
      </c>
      <c r="G16" s="466" t="s">
        <v>353</v>
      </c>
      <c r="H16" s="451" t="s">
        <v>353</v>
      </c>
      <c r="I16" s="452">
        <f t="shared" si="4"/>
        <v>0</v>
      </c>
      <c r="J16" s="453">
        <f t="shared" si="5"/>
        <v>0</v>
      </c>
      <c r="K16" s="454"/>
    </row>
    <row r="17" spans="1:11" ht="21" customHeight="1">
      <c r="A17" s="272"/>
      <c r="B17" s="450" t="s">
        <v>358</v>
      </c>
      <c r="C17" s="454"/>
      <c r="D17" s="273"/>
      <c r="E17" s="274"/>
      <c r="F17" s="295" t="s">
        <v>353</v>
      </c>
      <c r="G17" s="295" t="s">
        <v>353</v>
      </c>
      <c r="H17" s="451" t="s">
        <v>353</v>
      </c>
      <c r="I17" s="452">
        <f t="shared" si="4"/>
        <v>0</v>
      </c>
      <c r="J17" s="453">
        <f t="shared" si="5"/>
        <v>0</v>
      </c>
      <c r="K17" s="454"/>
    </row>
    <row r="18" spans="1:11" ht="21" customHeight="1" hidden="1">
      <c r="A18" s="272"/>
      <c r="B18" s="450" t="s">
        <v>358</v>
      </c>
      <c r="C18" s="454"/>
      <c r="D18" s="273"/>
      <c r="E18" s="274"/>
      <c r="F18" s="295" t="s">
        <v>353</v>
      </c>
      <c r="G18" s="295" t="s">
        <v>353</v>
      </c>
      <c r="H18" s="451" t="s">
        <v>353</v>
      </c>
      <c r="I18" s="452">
        <f t="shared" si="4"/>
        <v>0</v>
      </c>
      <c r="J18" s="453">
        <f t="shared" si="5"/>
        <v>0</v>
      </c>
      <c r="K18" s="454"/>
    </row>
    <row r="19" spans="1:11" s="469" customFormat="1" ht="21" customHeight="1" hidden="1">
      <c r="A19" s="467"/>
      <c r="B19" s="468"/>
      <c r="C19" s="454"/>
      <c r="D19" s="273"/>
      <c r="E19" s="273"/>
      <c r="F19" s="295" t="s">
        <v>353</v>
      </c>
      <c r="G19" s="295" t="s">
        <v>353</v>
      </c>
      <c r="H19" s="295" t="s">
        <v>353</v>
      </c>
      <c r="I19" s="452">
        <f t="shared" si="4"/>
        <v>0</v>
      </c>
      <c r="J19" s="453">
        <f t="shared" si="5"/>
        <v>0</v>
      </c>
      <c r="K19" s="454"/>
    </row>
    <row r="20" spans="1:11" ht="19.5" customHeight="1">
      <c r="A20" s="470"/>
      <c r="B20" s="457" t="s">
        <v>361</v>
      </c>
      <c r="C20" s="458"/>
      <c r="D20" s="459"/>
      <c r="E20" s="459"/>
      <c r="F20" s="459"/>
      <c r="G20" s="471" t="s">
        <v>362</v>
      </c>
      <c r="H20" s="462"/>
      <c r="I20" s="462"/>
      <c r="J20" s="463"/>
      <c r="K20" s="464"/>
    </row>
    <row r="21" spans="1:11" ht="21" customHeight="1">
      <c r="A21" s="472"/>
      <c r="B21" s="450" t="s">
        <v>363</v>
      </c>
      <c r="C21" s="454"/>
      <c r="D21" s="295" t="s">
        <v>353</v>
      </c>
      <c r="E21" s="295" t="s">
        <v>353</v>
      </c>
      <c r="F21" s="295" t="s">
        <v>353</v>
      </c>
      <c r="G21" s="274"/>
      <c r="H21" s="274">
        <v>50</v>
      </c>
      <c r="I21" s="452">
        <f aca="true" t="shared" si="6" ref="I21:I23">G21*52*H21/1000</f>
        <v>0</v>
      </c>
      <c r="J21" s="453">
        <f aca="true" t="shared" si="7" ref="J21:J23">I21*$D$3</f>
        <v>0</v>
      </c>
      <c r="K21" s="454" t="s">
        <v>354</v>
      </c>
    </row>
    <row r="22" spans="1:11" ht="21" customHeight="1">
      <c r="A22" s="472"/>
      <c r="B22" s="473" t="s">
        <v>364</v>
      </c>
      <c r="C22" s="454"/>
      <c r="D22" s="474" t="s">
        <v>353</v>
      </c>
      <c r="E22" s="474" t="s">
        <v>353</v>
      </c>
      <c r="F22" s="474" t="s">
        <v>353</v>
      </c>
      <c r="G22" s="274"/>
      <c r="H22" s="274">
        <v>20</v>
      </c>
      <c r="I22" s="452">
        <f t="shared" si="6"/>
        <v>0</v>
      </c>
      <c r="J22" s="453">
        <f t="shared" si="7"/>
        <v>0</v>
      </c>
      <c r="K22" s="454" t="s">
        <v>354</v>
      </c>
    </row>
    <row r="23" spans="1:11" s="469" customFormat="1" ht="21" customHeight="1">
      <c r="A23" s="467"/>
      <c r="B23" s="468"/>
      <c r="C23" s="454"/>
      <c r="D23" s="295" t="s">
        <v>353</v>
      </c>
      <c r="E23" s="295" t="s">
        <v>353</v>
      </c>
      <c r="F23" s="295" t="s">
        <v>353</v>
      </c>
      <c r="G23" s="274"/>
      <c r="H23" s="274"/>
      <c r="I23" s="452">
        <f t="shared" si="6"/>
        <v>0</v>
      </c>
      <c r="J23" s="453">
        <f t="shared" si="7"/>
        <v>0</v>
      </c>
      <c r="K23" s="454"/>
    </row>
    <row r="24" spans="1:11" ht="29.25" customHeight="1" hidden="1">
      <c r="A24" s="475"/>
      <c r="B24" s="294" t="s">
        <v>365</v>
      </c>
      <c r="C24" s="458"/>
      <c r="D24" s="459"/>
      <c r="E24" s="476" t="s">
        <v>366</v>
      </c>
      <c r="F24" s="477" t="s">
        <v>367</v>
      </c>
      <c r="G24" s="476" t="s">
        <v>368</v>
      </c>
      <c r="H24" s="462"/>
      <c r="I24" s="462"/>
      <c r="J24" s="463"/>
      <c r="K24" s="464"/>
    </row>
    <row r="25" spans="1:11" ht="21" customHeight="1" hidden="1">
      <c r="A25" s="272"/>
      <c r="B25" s="272"/>
      <c r="C25" s="454"/>
      <c r="D25" s="273"/>
      <c r="E25" s="273"/>
      <c r="F25" s="295" t="s">
        <v>353</v>
      </c>
      <c r="G25" s="274"/>
      <c r="H25" s="274"/>
      <c r="I25" s="452">
        <f aca="true" t="shared" si="8" ref="I25:I28">D25*E25*12/1000+G25*12*H25/1000</f>
        <v>0</v>
      </c>
      <c r="J25" s="453">
        <f aca="true" t="shared" si="9" ref="J25:J28">I25*$D$3</f>
        <v>0</v>
      </c>
      <c r="K25" s="454"/>
    </row>
    <row r="26" spans="1:11" ht="21" customHeight="1" hidden="1">
      <c r="A26" s="472"/>
      <c r="B26" s="272"/>
      <c r="C26" s="454"/>
      <c r="D26" s="478"/>
      <c r="E26" s="479"/>
      <c r="F26" s="466" t="s">
        <v>353</v>
      </c>
      <c r="G26" s="274"/>
      <c r="H26" s="274"/>
      <c r="I26" s="452">
        <f t="shared" si="8"/>
        <v>0</v>
      </c>
      <c r="J26" s="453">
        <f t="shared" si="9"/>
        <v>0</v>
      </c>
      <c r="K26" s="454"/>
    </row>
    <row r="27" spans="1:11" ht="21" customHeight="1" hidden="1">
      <c r="A27" s="472"/>
      <c r="B27" s="272"/>
      <c r="C27" s="454"/>
      <c r="D27" s="478"/>
      <c r="E27" s="479"/>
      <c r="F27" s="466" t="s">
        <v>353</v>
      </c>
      <c r="G27" s="478"/>
      <c r="H27" s="274"/>
      <c r="I27" s="452">
        <f t="shared" si="8"/>
        <v>0</v>
      </c>
      <c r="J27" s="453">
        <f t="shared" si="9"/>
        <v>0</v>
      </c>
      <c r="K27" s="454"/>
    </row>
    <row r="28" spans="1:11" ht="21" customHeight="1" hidden="1">
      <c r="A28" s="472"/>
      <c r="B28" s="272"/>
      <c r="C28" s="454"/>
      <c r="D28" s="478"/>
      <c r="E28" s="479"/>
      <c r="F28" s="466" t="s">
        <v>353</v>
      </c>
      <c r="G28" s="478"/>
      <c r="H28" s="274"/>
      <c r="I28" s="452">
        <f t="shared" si="8"/>
        <v>0</v>
      </c>
      <c r="J28" s="453">
        <f t="shared" si="9"/>
        <v>0</v>
      </c>
      <c r="K28" s="454"/>
    </row>
    <row r="29" spans="1:11" ht="19.5" customHeight="1">
      <c r="A29" s="480"/>
      <c r="B29" s="480"/>
      <c r="C29" s="480"/>
      <c r="D29" s="481"/>
      <c r="E29" s="481"/>
      <c r="F29" s="481"/>
      <c r="G29" s="482"/>
      <c r="H29" s="483" t="s">
        <v>268</v>
      </c>
      <c r="I29" s="484">
        <f>SUM(I6:I28)</f>
        <v>0</v>
      </c>
      <c r="J29" s="485">
        <f>SUM(J6:J28)</f>
        <v>0</v>
      </c>
      <c r="K29" s="486"/>
    </row>
    <row r="30" spans="1:11" ht="19.5" customHeight="1">
      <c r="A30" s="480"/>
      <c r="B30" s="480"/>
      <c r="C30" s="480"/>
      <c r="D30" s="481"/>
      <c r="E30" s="481"/>
      <c r="F30" s="481"/>
      <c r="G30" s="482"/>
      <c r="H30" s="482"/>
      <c r="I30" s="482"/>
      <c r="J30" s="487"/>
      <c r="K30" s="486"/>
    </row>
    <row r="31" spans="1:11" ht="19.5" customHeight="1">
      <c r="A31" s="480"/>
      <c r="B31" s="480"/>
      <c r="C31" s="480"/>
      <c r="D31" s="481"/>
      <c r="E31" s="481"/>
      <c r="F31" s="481"/>
      <c r="G31" s="482"/>
      <c r="H31" s="482"/>
      <c r="I31" s="482"/>
      <c r="J31" s="487"/>
      <c r="K31" s="486"/>
    </row>
    <row r="32" spans="1:11" ht="24.75" customHeight="1">
      <c r="A32" s="480"/>
      <c r="B32" s="480"/>
      <c r="C32" s="480"/>
      <c r="D32" s="481"/>
      <c r="E32" s="481"/>
      <c r="F32" s="481"/>
      <c r="G32" s="482"/>
      <c r="H32" s="482"/>
      <c r="I32" s="482"/>
      <c r="J32" s="487"/>
      <c r="K32" s="486"/>
    </row>
    <row r="33" spans="1:11" ht="3" customHeight="1">
      <c r="A33" s="480"/>
      <c r="B33" s="480"/>
      <c r="C33" s="480"/>
      <c r="D33" s="481"/>
      <c r="E33" s="481"/>
      <c r="F33" s="481"/>
      <c r="G33" s="482"/>
      <c r="H33" s="482"/>
      <c r="I33" s="482"/>
      <c r="J33" s="482"/>
      <c r="K33" s="486"/>
    </row>
    <row r="34" spans="1:11" ht="12.75" customHeight="1" hidden="1">
      <c r="A34" s="480"/>
      <c r="B34" s="480"/>
      <c r="C34" s="480"/>
      <c r="D34" s="481"/>
      <c r="E34" s="481"/>
      <c r="F34" s="481"/>
      <c r="G34" s="482"/>
      <c r="H34" s="482"/>
      <c r="I34" s="482"/>
      <c r="J34" s="482"/>
      <c r="K34" s="486"/>
    </row>
    <row r="35" spans="1:11" ht="12.75" customHeight="1" hidden="1">
      <c r="A35" s="480"/>
      <c r="B35" s="480"/>
      <c r="C35" s="480"/>
      <c r="D35" s="481"/>
      <c r="E35" s="481"/>
      <c r="F35" s="481"/>
      <c r="G35" s="482"/>
      <c r="H35" s="482"/>
      <c r="I35" s="482"/>
      <c r="J35" s="482"/>
      <c r="K35" s="486"/>
    </row>
    <row r="36" spans="1:11" ht="12.75" customHeight="1" hidden="1">
      <c r="A36" s="480"/>
      <c r="B36" s="480"/>
      <c r="C36" s="480"/>
      <c r="D36" s="481"/>
      <c r="E36" s="481"/>
      <c r="F36" s="481"/>
      <c r="G36" s="482"/>
      <c r="H36" s="482"/>
      <c r="I36" s="482"/>
      <c r="J36" s="482"/>
      <c r="K36" s="486"/>
    </row>
    <row r="37" spans="1:11" ht="12.75" customHeight="1" hidden="1">
      <c r="A37" s="480"/>
      <c r="B37" s="480"/>
      <c r="C37" s="480"/>
      <c r="D37" s="481"/>
      <c r="E37" s="481"/>
      <c r="F37" s="481"/>
      <c r="G37" s="482"/>
      <c r="H37" s="482"/>
      <c r="I37" s="482"/>
      <c r="J37" s="482"/>
      <c r="K37" s="486"/>
    </row>
    <row r="38" spans="1:11" ht="12.75" customHeight="1" hidden="1">
      <c r="A38" s="480"/>
      <c r="B38" s="480"/>
      <c r="C38" s="480"/>
      <c r="D38" s="481"/>
      <c r="E38" s="481"/>
      <c r="F38" s="481"/>
      <c r="G38" s="482"/>
      <c r="H38" s="482"/>
      <c r="I38" s="482"/>
      <c r="J38" s="482"/>
      <c r="K38" s="486"/>
    </row>
    <row r="39" spans="1:11" ht="12.75" customHeight="1" hidden="1">
      <c r="A39" s="480"/>
      <c r="B39" s="480"/>
      <c r="C39" s="480"/>
      <c r="D39" s="481"/>
      <c r="E39" s="481"/>
      <c r="F39" s="481"/>
      <c r="G39" s="482"/>
      <c r="H39" s="482"/>
      <c r="I39" s="482"/>
      <c r="J39" s="482"/>
      <c r="K39" s="486"/>
    </row>
    <row r="40" spans="1:11" ht="12.75" customHeight="1" hidden="1">
      <c r="A40" s="480"/>
      <c r="B40" s="480"/>
      <c r="C40" s="480"/>
      <c r="D40" s="481"/>
      <c r="E40" s="481"/>
      <c r="F40" s="481"/>
      <c r="G40" s="482"/>
      <c r="H40" s="482"/>
      <c r="I40" s="482"/>
      <c r="J40" s="482"/>
      <c r="K40" s="486"/>
    </row>
    <row r="41" spans="1:11" ht="12.75" customHeight="1" hidden="1">
      <c r="A41" s="480"/>
      <c r="B41" s="480"/>
      <c r="C41" s="480"/>
      <c r="D41" s="481"/>
      <c r="E41" s="481"/>
      <c r="F41" s="481"/>
      <c r="G41" s="482"/>
      <c r="H41" s="482"/>
      <c r="I41" s="482"/>
      <c r="J41" s="482"/>
      <c r="K41" s="486"/>
    </row>
    <row r="42" spans="1:11" ht="12.75" customHeight="1" hidden="1">
      <c r="A42" s="480"/>
      <c r="B42" s="480"/>
      <c r="C42" s="480"/>
      <c r="D42" s="481"/>
      <c r="E42" s="481"/>
      <c r="F42" s="481"/>
      <c r="G42" s="482"/>
      <c r="H42" s="482"/>
      <c r="I42" s="482"/>
      <c r="J42" s="482"/>
      <c r="K42" s="486"/>
    </row>
    <row r="43" spans="1:11" ht="12.75" customHeight="1" hidden="1">
      <c r="A43" s="488"/>
      <c r="B43" s="488"/>
      <c r="C43" s="488"/>
      <c r="D43" s="489"/>
      <c r="E43" s="489"/>
      <c r="F43" s="489"/>
      <c r="G43" s="490"/>
      <c r="H43" s="490"/>
      <c r="I43" s="490"/>
      <c r="J43" s="490"/>
      <c r="K43" s="491"/>
    </row>
  </sheetData>
  <sheetProtection selectLockedCells="1" selectUnlockedCells="1"/>
  <mergeCells count="2">
    <mergeCell ref="A1:K1"/>
    <mergeCell ref="A4:B4"/>
  </mergeCells>
  <printOptions/>
  <pageMargins left="0.7875" right="0.7875" top="1.0527777777777778" bottom="1.0527777777777778" header="0.7875" footer="0.7875"/>
  <pageSetup horizontalDpi="300" verticalDpi="300" orientation="portrait" paperSize="9"/>
  <headerFooter alignWithMargins="0">
    <oddHeader>&amp;C&amp;"Times New Roman,Navadno"&amp;12&amp;A</oddHeader>
    <oddFooter>&amp;C&amp;"Times New Roman,Navadno"&amp;12Page &amp;P</oddFooter>
  </headerFooter>
  <drawing r:id="rId1"/>
</worksheet>
</file>

<file path=xl/worksheets/sheet6.xml><?xml version="1.0" encoding="utf-8"?>
<worksheet xmlns="http://schemas.openxmlformats.org/spreadsheetml/2006/main" xmlns:r="http://schemas.openxmlformats.org/officeDocument/2006/relationships">
  <sheetPr>
    <tabColor indexed="12"/>
  </sheetPr>
  <dimension ref="A1:IV67"/>
  <sheetViews>
    <sheetView workbookViewId="0" topLeftCell="A1">
      <selection activeCell="E57" sqref="E57"/>
    </sheetView>
  </sheetViews>
  <sheetFormatPr defaultColWidth="9.140625" defaultRowHeight="12.75"/>
  <cols>
    <col min="1" max="1" width="2.7109375" style="1" customWidth="1"/>
    <col min="2" max="3" width="4.7109375" style="1" customWidth="1"/>
    <col min="4" max="4" width="5.7109375" style="1" customWidth="1"/>
    <col min="5" max="5" width="6.00390625" style="1" customWidth="1"/>
    <col min="6" max="6" width="6.7109375" style="1" customWidth="1"/>
    <col min="7" max="7" width="5.28125" style="1" customWidth="1"/>
    <col min="8" max="8" width="4.7109375" style="1" customWidth="1"/>
    <col min="9" max="9" width="5.57421875" style="1" customWidth="1"/>
    <col min="10" max="10" width="5.140625" style="1" customWidth="1"/>
    <col min="11" max="12" width="4.7109375" style="1" customWidth="1"/>
    <col min="13" max="13" width="4.57421875" style="1" customWidth="1"/>
    <col min="14" max="14" width="3.8515625" style="1" customWidth="1"/>
    <col min="15" max="15" width="5.7109375" style="1" customWidth="1"/>
    <col min="16" max="16" width="3.140625" style="1" customWidth="1"/>
    <col min="17" max="17" width="4.7109375" style="1" customWidth="1"/>
    <col min="18" max="18" width="4.140625" style="1" customWidth="1"/>
    <col min="19" max="19" width="4.28125" style="1" customWidth="1"/>
    <col min="20" max="20" width="2.8515625" style="1" customWidth="1"/>
    <col min="21" max="22" width="4.7109375" style="1" customWidth="1"/>
    <col min="23" max="23" width="10.7109375" style="1" customWidth="1"/>
    <col min="24" max="24" width="21.00390625" style="1" hidden="1" customWidth="1"/>
    <col min="25" max="25" width="15.7109375" style="1" hidden="1" customWidth="1"/>
    <col min="26" max="26" width="10.7109375" style="1" hidden="1" customWidth="1"/>
    <col min="27" max="27" width="2.00390625" style="1" customWidth="1"/>
    <col min="28" max="16384" width="11.421875" style="1" customWidth="1"/>
  </cols>
  <sheetData>
    <row r="1" spans="1:256" ht="45" customHeight="1">
      <c r="A1"/>
      <c r="B1"/>
      <c r="C1"/>
      <c r="D1" s="35"/>
      <c r="E1" s="35"/>
      <c r="F1" s="36" t="s">
        <v>30</v>
      </c>
      <c r="G1"/>
      <c r="H1" s="35"/>
      <c r="I1" s="35"/>
      <c r="J1" s="35"/>
      <c r="K1" s="35"/>
      <c r="L1" s="35"/>
      <c r="M1" s="35"/>
      <c r="N1" s="35"/>
      <c r="O1" s="35"/>
      <c r="P1" s="35"/>
      <c r="Q1" s="35"/>
      <c r="R1" s="35"/>
      <c r="S1" s="35"/>
      <c r="T1" s="2"/>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5.25" customHeight="1">
      <c r="A2"/>
      <c r="B2"/>
      <c r="C2"/>
      <c r="D2" s="35"/>
      <c r="E2" s="35"/>
      <c r="F2" s="35"/>
      <c r="G2" s="36"/>
      <c r="H2" s="35"/>
      <c r="I2" s="35"/>
      <c r="J2" s="35"/>
      <c r="K2" s="35"/>
      <c r="L2" s="35"/>
      <c r="M2" s="35"/>
      <c r="N2" s="35"/>
      <c r="O2" s="35"/>
      <c r="P2" s="35"/>
      <c r="Q2" s="35"/>
      <c r="R2" s="35"/>
      <c r="S2" s="35"/>
      <c r="T2" s="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ustomHeight="1">
      <c r="A3"/>
      <c r="B3" s="308"/>
      <c r="C3" s="2"/>
      <c r="D3" s="2"/>
      <c r="E3" s="2"/>
      <c r="F3" s="2"/>
      <c r="G3"/>
      <c r="H3"/>
      <c r="I3"/>
      <c r="J3" s="2"/>
      <c r="K3" s="2"/>
      <c r="L3" s="2"/>
      <c r="M3"/>
      <c r="N3"/>
      <c r="O3"/>
      <c r="P3"/>
      <c r="Q3" s="46" t="s">
        <v>31</v>
      </c>
      <c r="R3" s="309">
        <f>'household+building'!Q3</f>
        <v>0</v>
      </c>
      <c r="S3" s="309"/>
      <c r="T3" s="2"/>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75" customHeight="1">
      <c r="A4"/>
      <c r="B4" s="53" t="s">
        <v>369</v>
      </c>
      <c r="C4" s="2"/>
      <c r="D4" s="2"/>
      <c r="E4" s="2"/>
      <c r="F4" s="2"/>
      <c r="G4"/>
      <c r="H4"/>
      <c r="I4"/>
      <c r="J4" s="2"/>
      <c r="K4" s="2"/>
      <c r="L4"/>
      <c r="M4" s="2"/>
      <c r="N4"/>
      <c r="O4" s="2"/>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2" customHeight="1">
      <c r="A5"/>
      <c r="B5" s="308"/>
      <c r="C5" s="2"/>
      <c r="D5" s="2"/>
      <c r="E5" s="2"/>
      <c r="F5" s="2"/>
      <c r="G5" s="2"/>
      <c r="H5" s="2"/>
      <c r="I5" s="2"/>
      <c r="J5" s="2"/>
      <c r="K5" s="2"/>
      <c r="L5" s="2"/>
      <c r="M5" s="2"/>
      <c r="N5"/>
      <c r="O5" s="2"/>
      <c r="P5" s="2"/>
      <c r="Q5" s="2"/>
      <c r="R5" s="2"/>
      <c r="S5" s="2"/>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ustomHeight="1">
      <c r="A6"/>
      <c r="B6"/>
      <c r="C6"/>
      <c r="D6" s="192" t="s">
        <v>370</v>
      </c>
      <c r="E6" s="147">
        <f>'household+building'!G26</f>
        <v>0</v>
      </c>
      <c r="F6" s="147"/>
      <c r="G6"/>
      <c r="H6"/>
      <c r="I6"/>
      <c r="J6"/>
      <c r="K6"/>
      <c r="L6"/>
      <c r="M6"/>
      <c r="N6" s="310" t="s">
        <v>371</v>
      </c>
      <c r="O6" s="147">
        <f>'household+building'!I46</f>
        <v>0</v>
      </c>
      <c r="P6" s="147"/>
      <c r="Q6" s="147"/>
      <c r="R6" s="147"/>
      <c r="S6" s="147"/>
      <c r="T6"/>
      <c r="U6" s="2"/>
      <c r="V6" s="2"/>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4:22" s="49" customFormat="1" ht="15" customHeight="1">
      <c r="D7" s="87" t="s">
        <v>372</v>
      </c>
      <c r="E7" s="492">
        <f>'household+building'!J66</f>
        <v>0</v>
      </c>
      <c r="F7" s="492"/>
      <c r="G7" s="5" t="s">
        <v>373</v>
      </c>
      <c r="N7" s="310" t="s">
        <v>374</v>
      </c>
      <c r="O7" s="147">
        <f>'household+building'!G105</f>
        <v>0</v>
      </c>
      <c r="P7" s="147"/>
      <c r="Q7" s="147"/>
      <c r="R7" s="147"/>
      <c r="S7" s="147"/>
      <c r="V7" s="493"/>
    </row>
    <row r="8" spans="1:256" ht="12" customHeight="1">
      <c r="A8" s="64"/>
      <c r="B8"/>
      <c r="C8"/>
      <c r="D8"/>
      <c r="E8" s="102"/>
      <c r="F8" s="102"/>
      <c r="G8" s="102"/>
      <c r="H8"/>
      <c r="I8"/>
      <c r="J8"/>
      <c r="K8" s="494"/>
      <c r="L8"/>
      <c r="M8"/>
      <c r="N8" s="310" t="s">
        <v>375</v>
      </c>
      <c r="O8" s="147">
        <f>'household+building'!G106</f>
        <v>0</v>
      </c>
      <c r="P8" s="147"/>
      <c r="Q8" s="147"/>
      <c r="R8" s="147"/>
      <c r="S8" s="147"/>
      <c r="T8"/>
      <c r="U8"/>
      <c r="V8" s="5"/>
      <c r="W8"/>
      <c r="X8"/>
      <c r="Y8"/>
      <c r="Z8"/>
      <c r="AA8"/>
      <c r="AB8" s="495"/>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ustomHeight="1">
      <c r="A9" s="64"/>
      <c r="B9"/>
      <c r="C9"/>
      <c r="D9"/>
      <c r="E9"/>
      <c r="F9"/>
      <c r="G9"/>
      <c r="H9"/>
      <c r="I9"/>
      <c r="J9"/>
      <c r="K9" s="496"/>
      <c r="L9"/>
      <c r="M9"/>
      <c r="N9"/>
      <c r="O9"/>
      <c r="P9"/>
      <c r="Q9"/>
      <c r="R9"/>
      <c r="S9"/>
      <c r="T9"/>
      <c r="U9"/>
      <c r="V9" s="5"/>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6" customHeight="1">
      <c r="A10" s="95"/>
      <c r="B10" s="95"/>
      <c r="C10" s="95"/>
      <c r="D10" s="95"/>
      <c r="E10" s="95"/>
      <c r="F10" s="95"/>
      <c r="G10" s="95"/>
      <c r="H10" s="95"/>
      <c r="I10" s="95"/>
      <c r="J10" s="95"/>
      <c r="K10" s="95"/>
      <c r="L10" s="96"/>
      <c r="M10" s="96"/>
      <c r="N10" s="95"/>
      <c r="O10" s="95"/>
      <c r="P10" s="95"/>
      <c r="Q10" s="95"/>
      <c r="R10" s="95"/>
      <c r="S10" s="95"/>
      <c r="T10" s="95"/>
      <c r="U10"/>
      <c r="V10" s="5"/>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9" customHeight="1" hidden="1">
      <c r="A11" s="74"/>
      <c r="B11" s="44"/>
      <c r="C11" s="74"/>
      <c r="D11" s="74"/>
      <c r="E11" s="74"/>
      <c r="F11" s="74"/>
      <c r="G11" s="74"/>
      <c r="H11" s="74"/>
      <c r="I11" s="74"/>
      <c r="J11" s="74"/>
      <c r="K11" s="74"/>
      <c r="L11" s="74"/>
      <c r="M11" s="74"/>
      <c r="N11" s="74"/>
      <c r="O11" s="74"/>
      <c r="P11"/>
      <c r="Q11"/>
      <c r="R11"/>
      <c r="S11" s="74"/>
      <c r="T11"/>
      <c r="U11"/>
      <c r="V11" s="5"/>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2" s="11" customFormat="1" ht="15.75" customHeight="1" hidden="1">
      <c r="A12" s="64"/>
      <c r="B12" s="497" t="s">
        <v>376</v>
      </c>
      <c r="C12" s="59"/>
      <c r="D12" s="59"/>
      <c r="E12" s="59"/>
      <c r="F12" s="59"/>
      <c r="G12" s="59"/>
      <c r="H12" s="59"/>
      <c r="I12" s="59"/>
      <c r="J12" s="59"/>
      <c r="K12" s="59"/>
      <c r="L12" s="59"/>
      <c r="M12" s="59"/>
      <c r="N12" s="59"/>
      <c r="O12" s="59"/>
      <c r="P12" s="94"/>
      <c r="Q12" s="94"/>
      <c r="R12" s="94"/>
      <c r="S12" s="59"/>
      <c r="T12" s="94"/>
      <c r="V12" s="74"/>
    </row>
    <row r="13" spans="1:29" ht="13.5" customHeight="1" hidden="1">
      <c r="A13" s="74"/>
      <c r="B13" s="44"/>
      <c r="C13" s="74"/>
      <c r="D13" s="74"/>
      <c r="E13" s="74"/>
      <c r="F13" s="498"/>
      <c r="G13" s="74"/>
      <c r="H13" s="74"/>
      <c r="I13" s="74"/>
      <c r="J13" s="74"/>
      <c r="K13" s="74"/>
      <c r="L13" s="74"/>
      <c r="M13" s="74"/>
      <c r="N13" s="74"/>
      <c r="O13" s="498"/>
      <c r="P13"/>
      <c r="Q13"/>
      <c r="R13"/>
      <c r="S13" s="74"/>
      <c r="T13"/>
      <c r="U13"/>
      <c r="V13" s="5"/>
      <c r="W13"/>
      <c r="X13"/>
      <c r="Y13"/>
      <c r="Z13"/>
      <c r="AB13" s="136"/>
      <c r="AC13" s="43"/>
    </row>
    <row r="14" spans="1:29" ht="13.5" customHeight="1" hidden="1">
      <c r="A14" s="74"/>
      <c r="B14" s="326" t="s">
        <v>256</v>
      </c>
      <c r="C14" s="326"/>
      <c r="D14" s="326"/>
      <c r="E14" s="328" t="s">
        <v>377</v>
      </c>
      <c r="F14" s="499" t="s">
        <v>378</v>
      </c>
      <c r="G14" s="328" t="s">
        <v>379</v>
      </c>
      <c r="H14" s="387" t="s">
        <v>380</v>
      </c>
      <c r="I14" s="387"/>
      <c r="J14" s="387"/>
      <c r="K14" s="387"/>
      <c r="L14" s="387"/>
      <c r="M14" s="330" t="s">
        <v>279</v>
      </c>
      <c r="N14" s="330"/>
      <c r="O14" s="330"/>
      <c r="P14" s="330"/>
      <c r="Q14" s="330" t="s">
        <v>280</v>
      </c>
      <c r="R14" s="330"/>
      <c r="S14" s="74"/>
      <c r="T14"/>
      <c r="U14"/>
      <c r="V14" s="360"/>
      <c r="W14"/>
      <c r="X14"/>
      <c r="Y14"/>
      <c r="Z14"/>
      <c r="AB14" s="136"/>
      <c r="AC14" s="43"/>
    </row>
    <row r="15" spans="1:29" ht="27" customHeight="1" hidden="1">
      <c r="A15" s="74"/>
      <c r="B15" s="326"/>
      <c r="C15" s="326"/>
      <c r="D15" s="326"/>
      <c r="E15" s="328"/>
      <c r="F15" s="328"/>
      <c r="G15" s="328"/>
      <c r="H15" s="387"/>
      <c r="I15" s="387"/>
      <c r="J15" s="387"/>
      <c r="K15" s="387"/>
      <c r="L15" s="387"/>
      <c r="M15" s="330" t="s">
        <v>381</v>
      </c>
      <c r="N15" s="330"/>
      <c r="O15" s="330" t="s">
        <v>282</v>
      </c>
      <c r="P15" s="330"/>
      <c r="Q15" s="330"/>
      <c r="R15" s="330"/>
      <c r="S15" s="74"/>
      <c r="T15"/>
      <c r="U15"/>
      <c r="W15"/>
      <c r="X15"/>
      <c r="Y15"/>
      <c r="Z15"/>
      <c r="AB15" s="136"/>
      <c r="AC15" s="43"/>
    </row>
    <row r="16" spans="1:29" ht="13.5" customHeight="1" hidden="1">
      <c r="A16" s="74"/>
      <c r="B16" s="500"/>
      <c r="C16" s="500"/>
      <c r="D16" s="500"/>
      <c r="E16" s="501">
        <v>9</v>
      </c>
      <c r="F16" s="335"/>
      <c r="G16" s="502">
        <v>5.5</v>
      </c>
      <c r="H16" s="334"/>
      <c r="I16" s="334"/>
      <c r="J16" s="334"/>
      <c r="K16" s="334"/>
      <c r="L16" s="334"/>
      <c r="M16" s="503">
        <f>(E16-G16)*F16*'household+building'!P$28*'household+building'!G$26/1000</f>
        <v>0</v>
      </c>
      <c r="N16" s="503"/>
      <c r="O16" s="340">
        <f>M16*'household+building'!F$62</f>
        <v>0</v>
      </c>
      <c r="P16" s="340"/>
      <c r="Q16" s="340">
        <f aca="true" t="shared" si="0" ref="Q16:Q18">IF(H16=X$19,Y$19,IF(H16=X$20,Y$20,0))</f>
        <v>0</v>
      </c>
      <c r="R16" s="340"/>
      <c r="S16" s="74"/>
      <c r="T16"/>
      <c r="U16"/>
      <c r="W16"/>
      <c r="X16" s="5" t="s">
        <v>286</v>
      </c>
      <c r="Y16" s="5"/>
      <c r="Z16" s="5"/>
      <c r="AB16" s="136"/>
      <c r="AC16" s="43"/>
    </row>
    <row r="17" spans="1:29" ht="13.5" customHeight="1" hidden="1">
      <c r="A17" s="74"/>
      <c r="B17" s="500"/>
      <c r="C17" s="500"/>
      <c r="D17" s="500"/>
      <c r="E17" s="501">
        <v>9</v>
      </c>
      <c r="F17" s="335"/>
      <c r="G17" s="502">
        <v>5.5</v>
      </c>
      <c r="H17" s="334"/>
      <c r="I17" s="334"/>
      <c r="J17" s="334"/>
      <c r="K17" s="334"/>
      <c r="L17" s="334"/>
      <c r="M17" s="503">
        <f>(E17-G17)*F17*'household+building'!P$28*'household+building'!G$26/1000</f>
        <v>0</v>
      </c>
      <c r="N17" s="503"/>
      <c r="O17" s="340">
        <f>M17*'household+building'!F$62</f>
        <v>0</v>
      </c>
      <c r="P17" s="340"/>
      <c r="Q17" s="340">
        <f t="shared" si="0"/>
        <v>0</v>
      </c>
      <c r="R17" s="340"/>
      <c r="S17" s="74"/>
      <c r="T17"/>
      <c r="U17"/>
      <c r="W17"/>
      <c r="X17" s="5" t="s">
        <v>285</v>
      </c>
      <c r="Y17" s="5"/>
      <c r="Z17" s="5"/>
      <c r="AB17" s="136"/>
      <c r="AC17" s="43"/>
    </row>
    <row r="18" spans="1:256" ht="13.5" customHeight="1" hidden="1">
      <c r="A18"/>
      <c r="B18" s="102"/>
      <c r="C18" s="102"/>
      <c r="D18" s="102"/>
      <c r="E18">
        <v>9</v>
      </c>
      <c r="F18"/>
      <c r="G18">
        <v>5.5</v>
      </c>
      <c r="H18" s="102"/>
      <c r="I18" s="102"/>
      <c r="J18" s="102"/>
      <c r="K18" s="102"/>
      <c r="L18" s="102"/>
      <c r="M18" s="504">
        <f>(E18-G18)*F18*'household+building'!P$28*'household+building'!G$26/1000</f>
        <v>0</v>
      </c>
      <c r="N18" s="504"/>
      <c r="O18" s="102">
        <f>M18*'household+building'!F$62</f>
        <v>0</v>
      </c>
      <c r="P18" s="102"/>
      <c r="Q18" s="102">
        <f t="shared" si="0"/>
        <v>0</v>
      </c>
      <c r="R18" s="102"/>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9" ht="13.5" customHeight="1" hidden="1">
      <c r="A19" s="74"/>
      <c r="B19" s="505" t="s">
        <v>382</v>
      </c>
      <c r="C19" s="506"/>
      <c r="D19" s="506"/>
      <c r="E19" s="506"/>
      <c r="F19" s="506"/>
      <c r="G19" s="506"/>
      <c r="H19" s="506"/>
      <c r="I19" s="506"/>
      <c r="J19" s="506"/>
      <c r="K19" s="395"/>
      <c r="L19" s="395" t="s">
        <v>268</v>
      </c>
      <c r="M19" s="507">
        <f>SUM(M16:M18)</f>
        <v>0</v>
      </c>
      <c r="N19" s="507"/>
      <c r="O19" s="345">
        <f>SUM(O16:P18)</f>
        <v>0</v>
      </c>
      <c r="P19" s="345"/>
      <c r="Q19" s="345">
        <f>SUM(Q16:R18)</f>
        <v>0</v>
      </c>
      <c r="R19" s="345"/>
      <c r="S19" s="74"/>
      <c r="T19"/>
      <c r="U19"/>
      <c r="W19"/>
      <c r="X19" s="5">
        <f>'data devices+costs'!B47</f>
        <v>0</v>
      </c>
      <c r="Y19" s="508">
        <f>'data devices+costs'!D47</f>
        <v>0</v>
      </c>
      <c r="Z19"/>
      <c r="AB19" s="136"/>
      <c r="AC19" s="43"/>
    </row>
    <row r="20" spans="1:29" ht="13.5" customHeight="1" hidden="1">
      <c r="A20" s="74"/>
      <c r="B20" s="349"/>
      <c r="C20" s="349"/>
      <c r="D20" s="349"/>
      <c r="E20" s="349"/>
      <c r="F20" s="349"/>
      <c r="G20" s="349"/>
      <c r="H20" s="349"/>
      <c r="I20" s="349"/>
      <c r="J20" s="509"/>
      <c r="K20" s="349"/>
      <c r="L20" s="510"/>
      <c r="M20" s="510"/>
      <c r="N20" s="351"/>
      <c r="O20"/>
      <c r="P20" s="352"/>
      <c r="Q20"/>
      <c r="R20"/>
      <c r="S20" s="74"/>
      <c r="T20"/>
      <c r="U20"/>
      <c r="W20"/>
      <c r="X20" s="5">
        <f>'data devices+costs'!B48</f>
        <v>0</v>
      </c>
      <c r="Y20" s="508">
        <f>'data devices+costs'!D48</f>
        <v>0</v>
      </c>
      <c r="Z20"/>
      <c r="AB20" s="136"/>
      <c r="AC20" s="43"/>
    </row>
    <row r="21" spans="1:29" ht="13.5" customHeight="1" hidden="1">
      <c r="A21" s="74"/>
      <c r="B21" s="362" t="s">
        <v>297</v>
      </c>
      <c r="C21" s="138"/>
      <c r="D21" s="363"/>
      <c r="E21" s="364"/>
      <c r="F21" s="363"/>
      <c r="G21" s="363"/>
      <c r="H21" s="363"/>
      <c r="I21" s="363"/>
      <c r="J21" s="365"/>
      <c r="K21" s="366"/>
      <c r="L21" s="367"/>
      <c r="M21" s="367"/>
      <c r="N21" s="363"/>
      <c r="O21" s="368"/>
      <c r="P21" s="369"/>
      <c r="Q21" s="369"/>
      <c r="R21" s="363"/>
      <c r="S21" s="74"/>
      <c r="T21"/>
      <c r="U21"/>
      <c r="W21"/>
      <c r="X21"/>
      <c r="Y21"/>
      <c r="Z21"/>
      <c r="AB21" s="136"/>
      <c r="AC21" s="43"/>
    </row>
    <row r="22" spans="1:29" ht="13.5" customHeight="1" hidden="1">
      <c r="A22" s="74"/>
      <c r="B22" s="370"/>
      <c r="C22" s="370"/>
      <c r="D22" s="370"/>
      <c r="E22" s="370"/>
      <c r="F22" s="370"/>
      <c r="G22" s="370"/>
      <c r="H22" s="370"/>
      <c r="I22" s="370"/>
      <c r="J22" s="370"/>
      <c r="K22" s="370"/>
      <c r="L22" s="370"/>
      <c r="M22" s="370"/>
      <c r="N22" s="370"/>
      <c r="O22" s="370"/>
      <c r="P22" s="370"/>
      <c r="Q22" s="370"/>
      <c r="R22" s="370"/>
      <c r="S22" s="74"/>
      <c r="T22"/>
      <c r="U22"/>
      <c r="W22"/>
      <c r="X22"/>
      <c r="Y22"/>
      <c r="Z22"/>
      <c r="AB22" s="136"/>
      <c r="AC22" s="43"/>
    </row>
    <row r="23" spans="1:29" ht="13.5" customHeight="1" hidden="1">
      <c r="A23" s="74"/>
      <c r="B23" s="371"/>
      <c r="C23" s="371"/>
      <c r="D23" s="371"/>
      <c r="E23" s="371"/>
      <c r="F23" s="371"/>
      <c r="G23" s="371"/>
      <c r="H23" s="371"/>
      <c r="I23" s="371"/>
      <c r="J23" s="371"/>
      <c r="K23" s="371"/>
      <c r="L23" s="371"/>
      <c r="M23" s="371"/>
      <c r="N23" s="371"/>
      <c r="O23" s="371"/>
      <c r="P23" s="371"/>
      <c r="Q23" s="371"/>
      <c r="R23" s="371"/>
      <c r="S23" s="74"/>
      <c r="T23"/>
      <c r="U23"/>
      <c r="W23"/>
      <c r="X23"/>
      <c r="Y23"/>
      <c r="Z23"/>
      <c r="AB23" s="136"/>
      <c r="AC23" s="43"/>
    </row>
    <row r="24" spans="1:29" ht="13.5" customHeight="1" hidden="1">
      <c r="A24" s="74"/>
      <c r="B24" s="434" t="s">
        <v>383</v>
      </c>
      <c r="C24" s="434"/>
      <c r="D24" s="434"/>
      <c r="E24" s="434"/>
      <c r="F24" s="434"/>
      <c r="G24" s="434"/>
      <c r="H24" s="434"/>
      <c r="I24" s="434"/>
      <c r="J24" s="434"/>
      <c r="K24" s="434"/>
      <c r="L24" s="434"/>
      <c r="M24" s="434"/>
      <c r="N24" s="434"/>
      <c r="O24" s="434"/>
      <c r="P24" s="434"/>
      <c r="Q24" s="434"/>
      <c r="R24" s="434"/>
      <c r="S24" s="74"/>
      <c r="T24"/>
      <c r="U24"/>
      <c r="W24"/>
      <c r="X24"/>
      <c r="Y24"/>
      <c r="Z24"/>
      <c r="AB24" s="136"/>
      <c r="AC24" s="43"/>
    </row>
    <row r="25" spans="1:29" ht="13.5" customHeight="1" hidden="1">
      <c r="A25" s="74"/>
      <c r="B25" s="74"/>
      <c r="C25" s="74"/>
      <c r="D25" s="74"/>
      <c r="E25" s="74"/>
      <c r="F25" s="74"/>
      <c r="G25" s="74"/>
      <c r="H25" s="74"/>
      <c r="I25" s="74"/>
      <c r="J25" s="74"/>
      <c r="K25" s="74"/>
      <c r="L25" s="74"/>
      <c r="M25" s="74"/>
      <c r="N25" s="74"/>
      <c r="O25" s="74"/>
      <c r="P25" s="74"/>
      <c r="Q25" s="74"/>
      <c r="R25" s="74"/>
      <c r="S25" s="74"/>
      <c r="T25"/>
      <c r="U25"/>
      <c r="W25"/>
      <c r="X25"/>
      <c r="Y25"/>
      <c r="Z25"/>
      <c r="AB25" s="136"/>
      <c r="AC25" s="43"/>
    </row>
    <row r="26" spans="1:29" ht="13.5" customHeight="1" hidden="1">
      <c r="A26" s="74"/>
      <c r="B26" s="74"/>
      <c r="C26" s="74"/>
      <c r="D26" s="74"/>
      <c r="E26" s="74"/>
      <c r="F26" s="74"/>
      <c r="G26" s="74"/>
      <c r="H26" s="74"/>
      <c r="I26" s="74"/>
      <c r="J26" s="74"/>
      <c r="K26" s="74"/>
      <c r="L26" s="74"/>
      <c r="M26" s="74"/>
      <c r="N26" s="74"/>
      <c r="O26" s="74"/>
      <c r="P26" s="74"/>
      <c r="Q26" s="74"/>
      <c r="R26" s="74"/>
      <c r="S26" s="74"/>
      <c r="T26"/>
      <c r="U26"/>
      <c r="W26"/>
      <c r="X26"/>
      <c r="Y26"/>
      <c r="Z26"/>
      <c r="AB26" s="136"/>
      <c r="AC26" s="43"/>
    </row>
    <row r="27" spans="1:29" ht="13.5" customHeight="1" hidden="1">
      <c r="A27" s="74"/>
      <c r="B27" s="402"/>
      <c r="C27" s="196"/>
      <c r="D27" s="196"/>
      <c r="E27" s="196"/>
      <c r="F27" s="196"/>
      <c r="G27" s="196"/>
      <c r="H27" s="196"/>
      <c r="I27" s="196"/>
      <c r="J27" s="196"/>
      <c r="K27" s="196"/>
      <c r="L27" s="196"/>
      <c r="M27" s="196"/>
      <c r="N27" s="196"/>
      <c r="O27" s="196"/>
      <c r="P27" s="196"/>
      <c r="Q27" s="196"/>
      <c r="R27" s="196"/>
      <c r="S27" s="74"/>
      <c r="T27"/>
      <c r="U27"/>
      <c r="W27"/>
      <c r="X27"/>
      <c r="Y27"/>
      <c r="Z27"/>
      <c r="AB27" s="136"/>
      <c r="AC27" s="43"/>
    </row>
    <row r="28" spans="1:29" ht="6" customHeight="1" hidden="1">
      <c r="A28" s="95"/>
      <c r="B28" s="95"/>
      <c r="C28" s="95"/>
      <c r="D28" s="95"/>
      <c r="E28" s="95"/>
      <c r="F28" s="95"/>
      <c r="G28" s="95"/>
      <c r="H28" s="95"/>
      <c r="I28" s="95"/>
      <c r="J28" s="95"/>
      <c r="K28" s="95"/>
      <c r="L28" s="96"/>
      <c r="M28" s="96"/>
      <c r="N28" s="95"/>
      <c r="O28" s="95"/>
      <c r="P28" s="95"/>
      <c r="Q28" s="95"/>
      <c r="R28" s="95"/>
      <c r="S28" s="95"/>
      <c r="T28" s="95"/>
      <c r="U28"/>
      <c r="W28"/>
      <c r="X28"/>
      <c r="Y28"/>
      <c r="Z28"/>
      <c r="AB28" s="136"/>
      <c r="AC28" s="43"/>
    </row>
    <row r="29" spans="1:29" ht="7.5" customHeight="1">
      <c r="A29" s="74"/>
      <c r="B29"/>
      <c r="C29"/>
      <c r="D29"/>
      <c r="E29"/>
      <c r="F29"/>
      <c r="G29"/>
      <c r="H29"/>
      <c r="I29"/>
      <c r="J29"/>
      <c r="K29"/>
      <c r="L29"/>
      <c r="M29"/>
      <c r="N29"/>
      <c r="O29"/>
      <c r="P29"/>
      <c r="Q29"/>
      <c r="R29"/>
      <c r="S29" s="74"/>
      <c r="T29"/>
      <c r="U29"/>
      <c r="W29"/>
      <c r="X29"/>
      <c r="Y29"/>
      <c r="Z29"/>
      <c r="AB29" s="136"/>
      <c r="AC29" s="43"/>
    </row>
    <row r="30" spans="1:29" ht="13.5" customHeight="1">
      <c r="A30" s="74"/>
      <c r="B30" s="497" t="s">
        <v>384</v>
      </c>
      <c r="C30"/>
      <c r="D30"/>
      <c r="E30"/>
      <c r="F30"/>
      <c r="G30"/>
      <c r="H30"/>
      <c r="I30"/>
      <c r="J30"/>
      <c r="K30"/>
      <c r="L30"/>
      <c r="M30"/>
      <c r="N30" s="5"/>
      <c r="O30"/>
      <c r="P30"/>
      <c r="Q30"/>
      <c r="R30" s="192" t="s">
        <v>385</v>
      </c>
      <c r="S30" s="184">
        <v>34.8</v>
      </c>
      <c r="T30" s="5" t="s">
        <v>147</v>
      </c>
      <c r="U30"/>
      <c r="W30"/>
      <c r="X30"/>
      <c r="Y30"/>
      <c r="Z30"/>
      <c r="AB30" s="136"/>
      <c r="AC30" s="43"/>
    </row>
    <row r="31" spans="1:29" ht="12" customHeight="1">
      <c r="A31" s="74"/>
      <c r="B31"/>
      <c r="C31"/>
      <c r="D31"/>
      <c r="E31"/>
      <c r="F31"/>
      <c r="G31"/>
      <c r="H31"/>
      <c r="I31"/>
      <c r="J31"/>
      <c r="K31"/>
      <c r="L31"/>
      <c r="M31"/>
      <c r="N31"/>
      <c r="O31"/>
      <c r="P31"/>
      <c r="Q31"/>
      <c r="R31" s="192" t="s">
        <v>386</v>
      </c>
      <c r="S31" s="149">
        <v>0.6</v>
      </c>
      <c r="T31"/>
      <c r="U31"/>
      <c r="W31"/>
      <c r="X31"/>
      <c r="Y31"/>
      <c r="Z31"/>
      <c r="AB31" s="136"/>
      <c r="AC31" s="43"/>
    </row>
    <row r="32" spans="1:29" ht="9" customHeight="1">
      <c r="A32" s="74"/>
      <c r="B32" s="511" t="s">
        <v>387</v>
      </c>
      <c r="C32"/>
      <c r="D32"/>
      <c r="E32"/>
      <c r="F32"/>
      <c r="G32"/>
      <c r="H32"/>
      <c r="I32"/>
      <c r="J32"/>
      <c r="K32"/>
      <c r="L32"/>
      <c r="M32"/>
      <c r="N32"/>
      <c r="O32"/>
      <c r="P32"/>
      <c r="Q32"/>
      <c r="R32"/>
      <c r="S32" s="74"/>
      <c r="T32"/>
      <c r="U32"/>
      <c r="W32"/>
      <c r="X32"/>
      <c r="Y32"/>
      <c r="Z32"/>
      <c r="AB32" s="136"/>
      <c r="AC32" s="43"/>
    </row>
    <row r="33" spans="1:29" ht="13.5" customHeight="1">
      <c r="A33" s="74"/>
      <c r="B33" s="512" t="s">
        <v>256</v>
      </c>
      <c r="C33" s="512"/>
      <c r="D33" s="328" t="s">
        <v>388</v>
      </c>
      <c r="E33" s="499" t="s">
        <v>389</v>
      </c>
      <c r="F33" s="328" t="s">
        <v>390</v>
      </c>
      <c r="G33" s="328" t="s">
        <v>391</v>
      </c>
      <c r="H33" s="327" t="s">
        <v>392</v>
      </c>
      <c r="I33" s="327"/>
      <c r="J33" s="327"/>
      <c r="K33" s="327"/>
      <c r="L33" s="327"/>
      <c r="M33" s="330" t="s">
        <v>279</v>
      </c>
      <c r="N33" s="330"/>
      <c r="O33" s="330"/>
      <c r="P33" s="330"/>
      <c r="Q33" s="330"/>
      <c r="R33" s="330"/>
      <c r="S33" s="330" t="s">
        <v>280</v>
      </c>
      <c r="T33" s="330"/>
      <c r="U33"/>
      <c r="W33"/>
      <c r="X33"/>
      <c r="Y33"/>
      <c r="Z33"/>
      <c r="AB33" s="136"/>
      <c r="AC33" s="43"/>
    </row>
    <row r="34" spans="1:29" ht="45" customHeight="1">
      <c r="A34" s="74"/>
      <c r="B34" s="512"/>
      <c r="C34" s="512"/>
      <c r="D34" s="328"/>
      <c r="E34" s="328"/>
      <c r="F34" s="328"/>
      <c r="G34" s="328"/>
      <c r="H34" s="327"/>
      <c r="I34" s="327"/>
      <c r="J34" s="327"/>
      <c r="K34" s="327"/>
      <c r="L34" s="327"/>
      <c r="M34" s="330" t="s">
        <v>381</v>
      </c>
      <c r="N34" s="330"/>
      <c r="O34" s="513" t="s">
        <v>393</v>
      </c>
      <c r="P34" s="513"/>
      <c r="Q34" s="330" t="s">
        <v>282</v>
      </c>
      <c r="R34" s="330"/>
      <c r="S34" s="330"/>
      <c r="T34" s="330"/>
      <c r="U34"/>
      <c r="W34"/>
      <c r="X34" s="401"/>
      <c r="Y34"/>
      <c r="Z34"/>
      <c r="AB34" s="136"/>
      <c r="AC34" s="43"/>
    </row>
    <row r="35" spans="1:29" ht="13.5" customHeight="1">
      <c r="A35" s="74"/>
      <c r="B35" s="219" t="s">
        <v>285</v>
      </c>
      <c r="C35" s="219"/>
      <c r="D35" s="335"/>
      <c r="E35" s="335"/>
      <c r="F35" s="335"/>
      <c r="G35" s="103"/>
      <c r="H35" s="514"/>
      <c r="I35" s="514"/>
      <c r="J35" s="514"/>
      <c r="K35" s="514"/>
      <c r="L35" s="514"/>
      <c r="M35" s="503">
        <f>(D35-G35)*E35*F35*'household+building'!P$28/7*'household+building'!G$26/1000</f>
        <v>0</v>
      </c>
      <c r="N35" s="503"/>
      <c r="O35" s="339">
        <f aca="true" t="shared" si="1" ref="O35:O36">M35*S$30*S$31</f>
        <v>0</v>
      </c>
      <c r="P35" s="339"/>
      <c r="Q35" s="340">
        <f>M35*'household+building'!F$62+(O35*IF('household+building'!I$46="yes",'household+building'!F$38,'household+building'!H$83))</f>
        <v>0</v>
      </c>
      <c r="R35" s="340"/>
      <c r="S35" s="340">
        <f aca="true" t="shared" si="2" ref="S35:S36">IF(H35=X$35,Y$35,IF(H35=X$36,Y36,IF(H35=X$37,Y$37,0)))</f>
        <v>0</v>
      </c>
      <c r="T35" s="340"/>
      <c r="U35" s="19"/>
      <c r="W35"/>
      <c r="X35" s="5">
        <f>'data devices+costs'!B51</f>
        <v>0</v>
      </c>
      <c r="Y35" s="508">
        <f>'data devices+costs'!D51</f>
        <v>1</v>
      </c>
      <c r="Z35"/>
      <c r="AB35" s="136"/>
      <c r="AC35" s="43"/>
    </row>
    <row r="36" spans="1:29" ht="13.5" customHeight="1" hidden="1">
      <c r="A36" s="74"/>
      <c r="B36" s="219" t="s">
        <v>285</v>
      </c>
      <c r="C36" s="219"/>
      <c r="D36" s="515"/>
      <c r="E36" s="516"/>
      <c r="F36" s="335"/>
      <c r="G36" s="103"/>
      <c r="H36" s="514"/>
      <c r="I36" s="514"/>
      <c r="J36" s="514"/>
      <c r="K36" s="514"/>
      <c r="L36" s="514"/>
      <c r="M36" s="503">
        <f>(D36-G36)*E36*F36*'household+building'!P$28/7*'household+building'!G$26/1000</f>
        <v>0</v>
      </c>
      <c r="N36" s="503"/>
      <c r="O36" s="339">
        <f t="shared" si="1"/>
        <v>0</v>
      </c>
      <c r="P36" s="339"/>
      <c r="Q36" s="340">
        <f>M36*'household+building'!F$62+(O36*IF('household+building'!I$46="yes",'household+building'!F$38,'household+building'!H$83))</f>
        <v>0</v>
      </c>
      <c r="R36" s="340"/>
      <c r="S36" s="340">
        <f t="shared" si="2"/>
        <v>0</v>
      </c>
      <c r="T36" s="340"/>
      <c r="U36"/>
      <c r="W36"/>
      <c r="X36" s="5">
        <f>'data devices+costs'!B52</f>
        <v>0</v>
      </c>
      <c r="Y36" s="508">
        <f>'data devices+costs'!D52</f>
        <v>0</v>
      </c>
      <c r="Z36"/>
      <c r="AB36" s="136"/>
      <c r="AC36" s="43"/>
    </row>
    <row r="37" spans="1:29" ht="13.5" customHeight="1">
      <c r="A37" s="74"/>
      <c r="B37" s="505" t="s">
        <v>394</v>
      </c>
      <c r="C37" s="506"/>
      <c r="D37" s="506"/>
      <c r="E37" s="506"/>
      <c r="F37" s="506"/>
      <c r="G37" s="506"/>
      <c r="H37" s="506"/>
      <c r="I37" s="506"/>
      <c r="J37" s="506"/>
      <c r="K37" s="395"/>
      <c r="L37" s="395" t="s">
        <v>268</v>
      </c>
      <c r="M37" s="507">
        <f>SUM(M35:M36)</f>
        <v>0</v>
      </c>
      <c r="N37" s="507"/>
      <c r="O37" s="339">
        <f>M37*34.8*0.9</f>
        <v>0</v>
      </c>
      <c r="P37" s="339"/>
      <c r="Q37" s="345">
        <f>SUM(Q35:R36)</f>
        <v>0</v>
      </c>
      <c r="R37" s="345"/>
      <c r="S37" s="345">
        <f>SUM(S35:T36)</f>
        <v>0</v>
      </c>
      <c r="T37" s="345"/>
      <c r="U37"/>
      <c r="W37"/>
      <c r="X37" s="5">
        <f>'data devices+costs'!B53</f>
        <v>0</v>
      </c>
      <c r="Y37" s="508">
        <f>Y36</f>
        <v>0</v>
      </c>
      <c r="Z37"/>
      <c r="AB37" s="136"/>
      <c r="AC37" s="43"/>
    </row>
    <row r="38" spans="1:29" ht="13.5" customHeight="1">
      <c r="A38" s="74"/>
      <c r="B38" s="349"/>
      <c r="C38" s="349"/>
      <c r="D38" s="349"/>
      <c r="E38" s="349"/>
      <c r="F38" s="349"/>
      <c r="G38" s="349"/>
      <c r="H38" s="349"/>
      <c r="I38" s="349"/>
      <c r="J38" s="509"/>
      <c r="K38" s="349"/>
      <c r="L38" s="510"/>
      <c r="M38" s="510"/>
      <c r="N38" s="351"/>
      <c r="O38" s="19"/>
      <c r="P38" s="352"/>
      <c r="Q38"/>
      <c r="R38"/>
      <c r="S38" s="74"/>
      <c r="T38"/>
      <c r="U38"/>
      <c r="W38"/>
      <c r="X38"/>
      <c r="Y38" s="5"/>
      <c r="Z38"/>
      <c r="AB38" s="136"/>
      <c r="AC38" s="43"/>
    </row>
    <row r="39" spans="1:29" ht="13.5" customHeight="1" hidden="1">
      <c r="A39" s="74"/>
      <c r="B39"/>
      <c r="C39"/>
      <c r="D39" s="349"/>
      <c r="E39" s="517" t="s">
        <v>395</v>
      </c>
      <c r="F39" s="47"/>
      <c r="G39" s="349"/>
      <c r="H39" s="349"/>
      <c r="I39" s="349"/>
      <c r="J39" s="349"/>
      <c r="K39" s="349"/>
      <c r="L39" s="350"/>
      <c r="M39" s="350"/>
      <c r="N39" s="518"/>
      <c r="P39" s="352"/>
      <c r="S39" s="74"/>
      <c r="T39"/>
      <c r="U39"/>
      <c r="W39"/>
      <c r="X39" s="5">
        <f>'data devices+costs'!B54</f>
        <v>0</v>
      </c>
      <c r="Y39" s="508">
        <f>'data devices+costs'!D54</f>
        <v>0</v>
      </c>
      <c r="Z39"/>
      <c r="AB39" s="136"/>
      <c r="AC39" s="43"/>
    </row>
    <row r="40" spans="1:29" ht="13.5" customHeight="1" hidden="1">
      <c r="A40" s="74"/>
      <c r="B40" s="349"/>
      <c r="C40" s="349"/>
      <c r="D40" s="349"/>
      <c r="E40" s="517" t="s">
        <v>396</v>
      </c>
      <c r="F40" s="428">
        <f>IF(F39=X41,Y39,IF(F39=X42,0,0))</f>
        <v>0</v>
      </c>
      <c r="G40" s="519"/>
      <c r="H40" s="349"/>
      <c r="I40" s="349"/>
      <c r="J40" s="349"/>
      <c r="K40" s="349"/>
      <c r="L40" s="350"/>
      <c r="M40" s="350"/>
      <c r="N40" s="518"/>
      <c r="P40" s="352"/>
      <c r="S40" s="74"/>
      <c r="T40"/>
      <c r="U40"/>
      <c r="W40"/>
      <c r="X40"/>
      <c r="Y40"/>
      <c r="Z40"/>
      <c r="AB40" s="136"/>
      <c r="AC40" s="43"/>
    </row>
    <row r="41" spans="1:29" ht="13.5" customHeight="1" hidden="1">
      <c r="A41" s="74"/>
      <c r="B41" s="362" t="s">
        <v>297</v>
      </c>
      <c r="C41" s="138"/>
      <c r="D41" s="363"/>
      <c r="E41" s="364"/>
      <c r="F41" s="363"/>
      <c r="G41" s="363"/>
      <c r="H41" s="363"/>
      <c r="I41" s="363"/>
      <c r="J41" s="365"/>
      <c r="K41" s="366"/>
      <c r="L41" s="409"/>
      <c r="M41" s="409"/>
      <c r="N41" s="363"/>
      <c r="O41" s="368"/>
      <c r="P41" s="410"/>
      <c r="Q41" s="410"/>
      <c r="R41" s="363"/>
      <c r="S41" s="74"/>
      <c r="T41"/>
      <c r="U41"/>
      <c r="W41"/>
      <c r="X41" s="5" t="s">
        <v>107</v>
      </c>
      <c r="Y41"/>
      <c r="Z41"/>
      <c r="AB41" s="136"/>
      <c r="AC41" s="43"/>
    </row>
    <row r="42" spans="1:29" ht="13.5" customHeight="1" hidden="1">
      <c r="A42" s="74"/>
      <c r="B42" s="370"/>
      <c r="C42" s="370"/>
      <c r="D42" s="370"/>
      <c r="E42" s="370"/>
      <c r="F42" s="370"/>
      <c r="G42" s="370"/>
      <c r="H42" s="370"/>
      <c r="I42" s="370"/>
      <c r="J42" s="370"/>
      <c r="K42" s="370"/>
      <c r="L42" s="370"/>
      <c r="M42" s="370"/>
      <c r="N42" s="370"/>
      <c r="O42" s="370"/>
      <c r="P42" s="370"/>
      <c r="Q42" s="370"/>
      <c r="R42" s="370"/>
      <c r="S42" s="74"/>
      <c r="T42"/>
      <c r="U42"/>
      <c r="W42"/>
      <c r="X42" s="5" t="s">
        <v>113</v>
      </c>
      <c r="Y42"/>
      <c r="Z42"/>
      <c r="AB42" s="136"/>
      <c r="AC42" s="43"/>
    </row>
    <row r="43" spans="1:29" ht="13.5" customHeight="1" hidden="1">
      <c r="A43" s="74"/>
      <c r="B43" s="371"/>
      <c r="C43" s="371"/>
      <c r="D43" s="371"/>
      <c r="E43" s="371"/>
      <c r="F43" s="371"/>
      <c r="G43" s="371"/>
      <c r="H43" s="371"/>
      <c r="I43" s="371"/>
      <c r="J43" s="371"/>
      <c r="K43" s="371"/>
      <c r="L43" s="371"/>
      <c r="M43" s="371"/>
      <c r="N43" s="371"/>
      <c r="O43" s="371"/>
      <c r="P43" s="371"/>
      <c r="Q43" s="371"/>
      <c r="R43" s="371"/>
      <c r="S43" s="74"/>
      <c r="T43"/>
      <c r="U43"/>
      <c r="W43"/>
      <c r="X43"/>
      <c r="Y43"/>
      <c r="Z43"/>
      <c r="AB43" s="136"/>
      <c r="AC43" s="43"/>
    </row>
    <row r="44" spans="1:29" ht="13.5" customHeight="1" hidden="1">
      <c r="A44" s="74"/>
      <c r="B44" s="74" t="s">
        <v>397</v>
      </c>
      <c r="C44" s="74"/>
      <c r="D44" s="74"/>
      <c r="E44" s="74"/>
      <c r="F44" s="74"/>
      <c r="G44" s="74"/>
      <c r="H44" s="74"/>
      <c r="I44" s="74"/>
      <c r="J44" s="74"/>
      <c r="K44" s="74"/>
      <c r="L44" s="74"/>
      <c r="M44" s="74"/>
      <c r="N44" s="74"/>
      <c r="O44" s="74"/>
      <c r="P44" s="74"/>
      <c r="Q44" s="74"/>
      <c r="R44" s="74"/>
      <c r="S44" s="74"/>
      <c r="T44"/>
      <c r="U44"/>
      <c r="W44"/>
      <c r="X44"/>
      <c r="Y44"/>
      <c r="Z44"/>
      <c r="AB44" s="136"/>
      <c r="AC44" s="43"/>
    </row>
    <row r="45" spans="1:29" ht="13.5" customHeight="1" hidden="1">
      <c r="A45" s="74"/>
      <c r="B45" s="74" t="s">
        <v>398</v>
      </c>
      <c r="C45" s="74"/>
      <c r="D45" s="74"/>
      <c r="E45" s="74"/>
      <c r="F45" s="74"/>
      <c r="G45" s="74"/>
      <c r="H45" s="74"/>
      <c r="I45" s="74"/>
      <c r="J45" s="74"/>
      <c r="K45" s="74"/>
      <c r="L45" s="74"/>
      <c r="M45" s="74"/>
      <c r="N45" s="74"/>
      <c r="O45" s="74"/>
      <c r="P45" s="74"/>
      <c r="Q45" s="74"/>
      <c r="R45" s="74"/>
      <c r="S45" s="74"/>
      <c r="T45"/>
      <c r="U45"/>
      <c r="W45"/>
      <c r="X45"/>
      <c r="Y45"/>
      <c r="Z45"/>
      <c r="AB45" s="136"/>
      <c r="AC45" s="43"/>
    </row>
    <row r="46" spans="1:29" ht="13.5" customHeight="1" hidden="1">
      <c r="A46" s="74"/>
      <c r="B46" s="402"/>
      <c r="C46" s="402"/>
      <c r="D46" s="402"/>
      <c r="E46" s="402"/>
      <c r="F46" s="402"/>
      <c r="G46" s="402"/>
      <c r="H46" s="402"/>
      <c r="I46" s="402"/>
      <c r="J46" s="402"/>
      <c r="K46" s="402"/>
      <c r="L46" s="402"/>
      <c r="M46" s="402"/>
      <c r="N46" s="402"/>
      <c r="O46" s="402"/>
      <c r="P46" s="402"/>
      <c r="Q46" s="402"/>
      <c r="R46" s="402"/>
      <c r="S46" s="74"/>
      <c r="T46"/>
      <c r="U46"/>
      <c r="W46"/>
      <c r="X46"/>
      <c r="Y46"/>
      <c r="Z46"/>
      <c r="AB46" s="136"/>
      <c r="AC46" s="43"/>
    </row>
    <row r="47" spans="1:29" ht="13.5" customHeight="1">
      <c r="A47" s="74"/>
      <c r="B47" s="402"/>
      <c r="C47" s="196"/>
      <c r="D47" s="196"/>
      <c r="E47" s="196"/>
      <c r="F47" s="196"/>
      <c r="G47" s="196"/>
      <c r="H47" s="196"/>
      <c r="I47" s="196"/>
      <c r="J47" s="196"/>
      <c r="K47" s="196"/>
      <c r="L47" s="196"/>
      <c r="M47" s="196"/>
      <c r="N47" s="196"/>
      <c r="O47" s="196"/>
      <c r="P47" s="196"/>
      <c r="Q47" s="196"/>
      <c r="R47" s="196"/>
      <c r="S47" s="74"/>
      <c r="T47"/>
      <c r="U47"/>
      <c r="W47"/>
      <c r="X47"/>
      <c r="Y47"/>
      <c r="Z47"/>
      <c r="AB47" s="136"/>
      <c r="AC47" s="43"/>
    </row>
    <row r="48" spans="1:29" ht="7.5" customHeight="1">
      <c r="A48" s="95"/>
      <c r="B48" s="95"/>
      <c r="C48" s="95"/>
      <c r="D48" s="95"/>
      <c r="E48" s="95"/>
      <c r="F48" s="95"/>
      <c r="G48" s="95"/>
      <c r="H48" s="95"/>
      <c r="I48" s="95"/>
      <c r="J48" s="95"/>
      <c r="K48" s="95"/>
      <c r="L48" s="96"/>
      <c r="M48" s="96"/>
      <c r="N48" s="95"/>
      <c r="O48" s="95"/>
      <c r="P48" s="95"/>
      <c r="Q48" s="95"/>
      <c r="R48" s="95"/>
      <c r="S48" s="95"/>
      <c r="T48" s="95"/>
      <c r="U48"/>
      <c r="W48"/>
      <c r="X48"/>
      <c r="Y48"/>
      <c r="Z48"/>
      <c r="AB48" s="136"/>
      <c r="AC48" s="43"/>
    </row>
    <row r="49" spans="1:29" ht="6.75" customHeight="1">
      <c r="A49" s="74"/>
      <c r="B49" s="44"/>
      <c r="C49" s="74"/>
      <c r="D49" s="74"/>
      <c r="E49" s="74"/>
      <c r="F49" s="74"/>
      <c r="G49" s="74"/>
      <c r="H49" s="74"/>
      <c r="I49" s="74"/>
      <c r="J49" s="74"/>
      <c r="K49" s="74"/>
      <c r="L49" s="74"/>
      <c r="M49" s="74"/>
      <c r="N49" s="74"/>
      <c r="O49" s="74"/>
      <c r="P49"/>
      <c r="Q49"/>
      <c r="R49"/>
      <c r="S49" s="74"/>
      <c r="T49"/>
      <c r="U49"/>
      <c r="W49"/>
      <c r="X49"/>
      <c r="Y49"/>
      <c r="Z49"/>
      <c r="AB49" s="136"/>
      <c r="AC49" s="43"/>
    </row>
    <row r="50" spans="1:29" ht="13.5" customHeight="1">
      <c r="A50" s="74"/>
      <c r="B50" s="497" t="s">
        <v>399</v>
      </c>
      <c r="C50" s="74"/>
      <c r="D50" s="74"/>
      <c r="E50" s="74"/>
      <c r="F50"/>
      <c r="G50"/>
      <c r="H50"/>
      <c r="I50"/>
      <c r="J50"/>
      <c r="K50"/>
      <c r="L50"/>
      <c r="M50" s="74"/>
      <c r="N50" s="74"/>
      <c r="O50" s="74"/>
      <c r="P50"/>
      <c r="Q50"/>
      <c r="R50"/>
      <c r="S50"/>
      <c r="T50" s="347" t="s">
        <v>400</v>
      </c>
      <c r="U50"/>
      <c r="W50" s="74"/>
      <c r="X50"/>
      <c r="Y50" s="87" t="s">
        <v>401</v>
      </c>
      <c r="Z50" s="520">
        <v>0.9</v>
      </c>
      <c r="AB50"/>
      <c r="AC50" s="43"/>
    </row>
    <row r="51" spans="1:29" ht="6" customHeight="1">
      <c r="A51" s="74"/>
      <c r="B51" s="497"/>
      <c r="C51" s="74"/>
      <c r="D51" s="74"/>
      <c r="E51" s="74"/>
      <c r="F51"/>
      <c r="G51"/>
      <c r="H51"/>
      <c r="I51"/>
      <c r="J51"/>
      <c r="K51"/>
      <c r="L51"/>
      <c r="M51" s="74"/>
      <c r="N51" s="74"/>
      <c r="O51" s="74"/>
      <c r="P51"/>
      <c r="Q51"/>
      <c r="R51"/>
      <c r="S51"/>
      <c r="T51" s="347"/>
      <c r="U51"/>
      <c r="W51" s="74"/>
      <c r="X51"/>
      <c r="Y51" s="192" t="s">
        <v>402</v>
      </c>
      <c r="Z51" s="520">
        <v>0.5</v>
      </c>
      <c r="AB51"/>
      <c r="AC51" s="43"/>
    </row>
    <row r="52" spans="1:29" ht="13.5" customHeight="1">
      <c r="A52" s="74"/>
      <c r="B52"/>
      <c r="C52"/>
      <c r="D52"/>
      <c r="E52"/>
      <c r="F52"/>
      <c r="G52"/>
      <c r="H52"/>
      <c r="I52"/>
      <c r="J52"/>
      <c r="K52"/>
      <c r="L52"/>
      <c r="M52"/>
      <c r="N52"/>
      <c r="O52"/>
      <c r="P52"/>
      <c r="Q52"/>
      <c r="R52" s="192" t="s">
        <v>385</v>
      </c>
      <c r="S52" s="184">
        <v>34.8</v>
      </c>
      <c r="T52" s="5" t="s">
        <v>147</v>
      </c>
      <c r="U52"/>
      <c r="W52" s="5" t="s">
        <v>283</v>
      </c>
      <c r="X52"/>
      <c r="Y52"/>
      <c r="Z52"/>
      <c r="AB52"/>
      <c r="AC52" s="43"/>
    </row>
    <row r="53" spans="1:29" ht="13.5" customHeight="1">
      <c r="A53" s="74"/>
      <c r="B53"/>
      <c r="C53"/>
      <c r="D53"/>
      <c r="E53"/>
      <c r="F53"/>
      <c r="G53"/>
      <c r="H53"/>
      <c r="I53"/>
      <c r="J53"/>
      <c r="K53"/>
      <c r="L53"/>
      <c r="M53"/>
      <c r="N53"/>
      <c r="O53"/>
      <c r="P53"/>
      <c r="Q53"/>
      <c r="R53" s="192" t="s">
        <v>403</v>
      </c>
      <c r="S53" s="149">
        <v>0.33</v>
      </c>
      <c r="T53"/>
      <c r="U53"/>
      <c r="W53" s="5" t="s">
        <v>285</v>
      </c>
      <c r="X53"/>
      <c r="Y53" s="192"/>
      <c r="Z53" s="520"/>
      <c r="AB53"/>
      <c r="AC53" s="43"/>
    </row>
    <row r="54" spans="1:29" ht="9.75" customHeight="1">
      <c r="A54" s="74"/>
      <c r="B54" s="521" t="s">
        <v>404</v>
      </c>
      <c r="C54"/>
      <c r="D54"/>
      <c r="E54"/>
      <c r="F54"/>
      <c r="G54"/>
      <c r="H54"/>
      <c r="I54"/>
      <c r="J54"/>
      <c r="K54"/>
      <c r="L54"/>
      <c r="M54"/>
      <c r="N54"/>
      <c r="O54"/>
      <c r="P54"/>
      <c r="Q54"/>
      <c r="R54" s="192"/>
      <c r="S54"/>
      <c r="T54"/>
      <c r="U54"/>
      <c r="W54" s="5" t="s">
        <v>286</v>
      </c>
      <c r="X54"/>
      <c r="Y54" s="192"/>
      <c r="Z54" s="520"/>
      <c r="AB54"/>
      <c r="AC54" s="43"/>
    </row>
    <row r="55" spans="1:29" ht="13.5" customHeight="1">
      <c r="A55" s="74"/>
      <c r="B55" s="326" t="s">
        <v>256</v>
      </c>
      <c r="C55" s="326"/>
      <c r="D55" s="326"/>
      <c r="E55" s="328" t="s">
        <v>405</v>
      </c>
      <c r="F55" s="328" t="s">
        <v>406</v>
      </c>
      <c r="G55" s="328" t="s">
        <v>391</v>
      </c>
      <c r="H55" s="327" t="s">
        <v>407</v>
      </c>
      <c r="I55" s="327"/>
      <c r="J55" s="327"/>
      <c r="K55" s="327"/>
      <c r="L55" s="327"/>
      <c r="M55" s="330" t="s">
        <v>279</v>
      </c>
      <c r="N55" s="330"/>
      <c r="O55" s="330"/>
      <c r="P55" s="330"/>
      <c r="Q55" s="330"/>
      <c r="R55" s="330"/>
      <c r="S55" s="330" t="s">
        <v>280</v>
      </c>
      <c r="T55" s="330"/>
      <c r="U55"/>
      <c r="W55" s="5" t="s">
        <v>291</v>
      </c>
      <c r="X55"/>
      <c r="Y55"/>
      <c r="AB55" s="136"/>
      <c r="AC55" s="43"/>
    </row>
    <row r="56" spans="1:29" ht="48.75" customHeight="1">
      <c r="A56" s="74"/>
      <c r="B56" s="326"/>
      <c r="C56" s="326"/>
      <c r="D56" s="326"/>
      <c r="E56" s="328"/>
      <c r="F56" s="328"/>
      <c r="G56" s="328"/>
      <c r="H56" s="327"/>
      <c r="I56" s="327"/>
      <c r="J56" s="327"/>
      <c r="K56" s="327"/>
      <c r="L56" s="327"/>
      <c r="M56" s="330" t="s">
        <v>381</v>
      </c>
      <c r="N56" s="330"/>
      <c r="O56" s="513" t="s">
        <v>408</v>
      </c>
      <c r="P56" s="513"/>
      <c r="Q56" s="330" t="s">
        <v>282</v>
      </c>
      <c r="R56" s="330"/>
      <c r="S56" s="330"/>
      <c r="T56" s="330"/>
      <c r="U56"/>
      <c r="X56" s="5"/>
      <c r="Y56"/>
      <c r="AB56" s="136"/>
      <c r="AC56" s="43"/>
    </row>
    <row r="57" spans="1:29" ht="13.5" customHeight="1">
      <c r="A57" s="74"/>
      <c r="B57" s="334"/>
      <c r="C57" s="334"/>
      <c r="D57" s="334"/>
      <c r="E57" s="335"/>
      <c r="F57" s="335"/>
      <c r="G57" s="58"/>
      <c r="H57" s="334"/>
      <c r="I57" s="334"/>
      <c r="J57" s="334"/>
      <c r="K57" s="334"/>
      <c r="L57" s="334"/>
      <c r="M57" s="503">
        <f>(E57-G57)*F57*'household+building'!P$28*'household+building'!G$26/1000*IF(B57="kitchen",Z$51,IF(B57="ohters",Z$51,Z$50))</f>
        <v>0</v>
      </c>
      <c r="N57" s="503"/>
      <c r="O57" s="339">
        <f aca="true" t="shared" si="3" ref="O57:O61">M57*S$52*S$53</f>
        <v>0</v>
      </c>
      <c r="P57" s="339"/>
      <c r="Q57" s="340">
        <f>M57*'household+building'!F$62+(O57*IF('household+building'!I$46="yes",'household+building'!F$38,'household+building'!H$83))</f>
        <v>0</v>
      </c>
      <c r="R57" s="340"/>
      <c r="S57" s="340">
        <f aca="true" t="shared" si="4" ref="S57:S61">IF(H57=X$62,Y$62,IF(H57=X$63,Y$63,IF(H57=X$64,Y$64,IF(H57=X$65,Y$65,0))))</f>
        <v>0</v>
      </c>
      <c r="T57" s="340"/>
      <c r="U57"/>
      <c r="X57" s="5"/>
      <c r="Y57"/>
      <c r="AB57" s="136"/>
      <c r="AC57" s="43"/>
    </row>
    <row r="58" spans="1:29" ht="13.5" customHeight="1">
      <c r="A58" s="74"/>
      <c r="B58" s="334"/>
      <c r="C58" s="334"/>
      <c r="D58" s="334"/>
      <c r="E58" s="335"/>
      <c r="F58" s="335"/>
      <c r="G58" s="58"/>
      <c r="H58" s="334"/>
      <c r="I58" s="334"/>
      <c r="J58" s="334"/>
      <c r="K58" s="334"/>
      <c r="L58" s="334"/>
      <c r="M58" s="503">
        <f>(E58-G58)*F58*'household+building'!P$28*'household+building'!G$26/1000*IF(B58="kitchen",Z$51,IF(B58="ohters",Z$51,Z$50))</f>
        <v>0</v>
      </c>
      <c r="N58" s="503"/>
      <c r="O58" s="339">
        <f t="shared" si="3"/>
        <v>0</v>
      </c>
      <c r="P58" s="339"/>
      <c r="Q58" s="340">
        <f>M58*'household+building'!F$62+(O58*IF('household+building'!I$46="yes",'household+building'!F$38,'household+building'!H$83))</f>
        <v>0</v>
      </c>
      <c r="R58" s="340"/>
      <c r="S58" s="340">
        <f t="shared" si="4"/>
        <v>0</v>
      </c>
      <c r="T58" s="340"/>
      <c r="U58"/>
      <c r="X58" s="5"/>
      <c r="Y58" s="401"/>
      <c r="AB58" s="136"/>
      <c r="AC58" s="43"/>
    </row>
    <row r="59" spans="1:29" ht="13.5" customHeight="1">
      <c r="A59" s="74"/>
      <c r="B59" s="334"/>
      <c r="C59" s="334"/>
      <c r="D59" s="334"/>
      <c r="E59" s="335"/>
      <c r="F59" s="335"/>
      <c r="G59" s="58"/>
      <c r="H59" s="334"/>
      <c r="I59" s="334"/>
      <c r="J59" s="334"/>
      <c r="K59" s="334"/>
      <c r="L59" s="334"/>
      <c r="M59" s="503">
        <f>(E59-G59)*F59*'household+building'!P$28*'household+building'!G$26/1000*IF(B59="kitchen",Z$51,IF(B59="ohters",Z$51,Z$50))</f>
        <v>0</v>
      </c>
      <c r="N59" s="503"/>
      <c r="O59" s="339">
        <f t="shared" si="3"/>
        <v>0</v>
      </c>
      <c r="P59" s="339"/>
      <c r="Q59" s="340">
        <f>M59*'household+building'!F$62+(O59*IF('household+building'!I$46="yes",'household+building'!F$38,'household+building'!H$83))</f>
        <v>0</v>
      </c>
      <c r="R59" s="340"/>
      <c r="S59" s="340">
        <f t="shared" si="4"/>
        <v>0</v>
      </c>
      <c r="T59" s="340"/>
      <c r="U59" s="19"/>
      <c r="X59" s="5"/>
      <c r="Y59"/>
      <c r="AB59" s="136"/>
      <c r="AC59" s="43"/>
    </row>
    <row r="60" spans="1:29" ht="13.5" customHeight="1">
      <c r="A60" s="74"/>
      <c r="B60" s="334"/>
      <c r="C60" s="334"/>
      <c r="D60" s="334"/>
      <c r="E60" s="335"/>
      <c r="F60" s="335"/>
      <c r="G60" s="58"/>
      <c r="H60" s="334"/>
      <c r="I60" s="334"/>
      <c r="J60" s="334"/>
      <c r="K60" s="334"/>
      <c r="L60" s="334"/>
      <c r="M60" s="503">
        <f>(E60-G60)*F60*'household+building'!P$28*'household+building'!G$26/1000*IF(B60="kitchen",Z$51,IF(B60="ohters",Z$51,Z$50))</f>
        <v>0</v>
      </c>
      <c r="N60" s="503"/>
      <c r="O60" s="339">
        <f t="shared" si="3"/>
        <v>0</v>
      </c>
      <c r="P60" s="339"/>
      <c r="Q60" s="340">
        <f>M60*'household+building'!F$62+(O60*IF('household+building'!I$46="yes",'household+building'!F$38,'household+building'!H$83))</f>
        <v>0</v>
      </c>
      <c r="R60" s="340"/>
      <c r="S60" s="340">
        <f t="shared" si="4"/>
        <v>0</v>
      </c>
      <c r="T60" s="340"/>
      <c r="X60"/>
      <c r="Y60"/>
      <c r="AB60" s="136"/>
      <c r="AC60" s="43"/>
    </row>
    <row r="61" spans="1:29" ht="13.5" customHeight="1" hidden="1">
      <c r="A61" s="74"/>
      <c r="B61" s="334"/>
      <c r="C61" s="334"/>
      <c r="D61" s="334"/>
      <c r="E61" s="515"/>
      <c r="F61" s="335"/>
      <c r="G61" s="522"/>
      <c r="H61" s="334"/>
      <c r="I61" s="334"/>
      <c r="J61" s="334"/>
      <c r="K61" s="334"/>
      <c r="L61" s="334"/>
      <c r="M61" s="503">
        <f>(E61-G61)*F61*'household+building'!P$28*'household+building'!G$26/1000*IF(B61="kitchen",Z$51,IF(B61="ohters",Z$51,Z$50))</f>
        <v>0</v>
      </c>
      <c r="N61" s="503"/>
      <c r="O61" s="339">
        <f t="shared" si="3"/>
        <v>0</v>
      </c>
      <c r="P61" s="339"/>
      <c r="Q61" s="340">
        <f>M61*'household+building'!F$62+(O61*IF('household+building'!I$46="yes",'household+building'!F$38,'household+building'!H$83))</f>
        <v>0</v>
      </c>
      <c r="R61" s="340"/>
      <c r="S61" s="340">
        <f t="shared" si="4"/>
        <v>0</v>
      </c>
      <c r="T61" s="340"/>
      <c r="X61"/>
      <c r="Y61"/>
      <c r="AB61" s="136"/>
      <c r="AC61" s="43"/>
    </row>
    <row r="62" spans="1:29" ht="13.5" customHeight="1">
      <c r="A62" s="74"/>
      <c r="B62" s="505" t="s">
        <v>409</v>
      </c>
      <c r="C62" s="506"/>
      <c r="D62" s="506"/>
      <c r="E62" s="506"/>
      <c r="F62" s="506"/>
      <c r="G62" s="506"/>
      <c r="H62" s="506"/>
      <c r="I62" s="506"/>
      <c r="J62" s="506"/>
      <c r="K62" s="523"/>
      <c r="L62" s="395" t="s">
        <v>268</v>
      </c>
      <c r="M62" s="507">
        <f>SUM(M57:M61)</f>
        <v>0</v>
      </c>
      <c r="N62" s="507"/>
      <c r="O62" s="344">
        <f>SUM(O57:P61)</f>
        <v>0</v>
      </c>
      <c r="P62" s="344"/>
      <c r="Q62" s="345">
        <f>SUM(Q57:R61)</f>
        <v>0</v>
      </c>
      <c r="R62" s="345"/>
      <c r="S62" s="345">
        <f>SUM(S57:T61)</f>
        <v>0</v>
      </c>
      <c r="T62" s="345"/>
      <c r="X62" s="5">
        <f>'data devices+costs'!B56</f>
        <v>0</v>
      </c>
      <c r="Y62" s="508">
        <f>'data devices+costs'!D56</f>
        <v>1</v>
      </c>
      <c r="AB62" s="136"/>
      <c r="AC62" s="43"/>
    </row>
    <row r="63" spans="1:29" ht="13.5" customHeight="1">
      <c r="A63" s="74"/>
      <c r="B63" s="349"/>
      <c r="C63" s="349"/>
      <c r="D63" s="349"/>
      <c r="E63" s="349"/>
      <c r="F63" s="349"/>
      <c r="G63" s="349"/>
      <c r="H63" s="349"/>
      <c r="I63" s="349"/>
      <c r="J63" s="509"/>
      <c r="K63" s="349"/>
      <c r="L63" s="510"/>
      <c r="M63" s="510"/>
      <c r="N63" s="351"/>
      <c r="O63" s="19"/>
      <c r="P63" s="352"/>
      <c r="Q63"/>
      <c r="R63"/>
      <c r="S63" s="74"/>
      <c r="X63" s="5">
        <f>'data devices+costs'!B57</f>
        <v>0</v>
      </c>
      <c r="Y63" s="508">
        <f>'data devices+costs'!D57</f>
        <v>1</v>
      </c>
      <c r="AB63" s="136"/>
      <c r="AC63" s="43"/>
    </row>
    <row r="64" spans="1:29" ht="13.5" customHeight="1" hidden="1">
      <c r="A64" s="74"/>
      <c r="B64" s="362" t="s">
        <v>297</v>
      </c>
      <c r="C64" s="138"/>
      <c r="D64" s="363"/>
      <c r="E64" s="364"/>
      <c r="F64" s="363"/>
      <c r="G64" s="363"/>
      <c r="H64" s="363"/>
      <c r="I64" s="363"/>
      <c r="J64" s="365"/>
      <c r="K64" s="366"/>
      <c r="L64" s="367"/>
      <c r="M64" s="367"/>
      <c r="N64" s="363"/>
      <c r="O64" s="368"/>
      <c r="P64" s="369"/>
      <c r="Q64" s="369"/>
      <c r="R64" s="363"/>
      <c r="S64" s="74"/>
      <c r="X64" s="5">
        <f>'data devices+costs'!B58</f>
        <v>0</v>
      </c>
      <c r="Y64" s="508">
        <f>'data devices+costs'!D58</f>
        <v>0</v>
      </c>
      <c r="AB64" s="136"/>
      <c r="AC64" s="43"/>
    </row>
    <row r="65" spans="1:29" ht="13.5" customHeight="1" hidden="1">
      <c r="A65" s="74"/>
      <c r="B65" s="370"/>
      <c r="C65" s="370"/>
      <c r="D65" s="370"/>
      <c r="E65" s="370"/>
      <c r="F65" s="370"/>
      <c r="G65" s="370"/>
      <c r="H65" s="370"/>
      <c r="I65" s="370"/>
      <c r="J65" s="370"/>
      <c r="K65" s="370"/>
      <c r="L65" s="370"/>
      <c r="M65" s="370"/>
      <c r="N65" s="370"/>
      <c r="O65" s="370"/>
      <c r="P65" s="370"/>
      <c r="Q65" s="370"/>
      <c r="R65" s="370"/>
      <c r="S65" s="74"/>
      <c r="X65" s="5">
        <f>'data devices+costs'!B59</f>
        <v>0</v>
      </c>
      <c r="Y65" s="508">
        <f>'data devices+costs'!D59</f>
        <v>0</v>
      </c>
      <c r="AB65" s="136"/>
      <c r="AC65" s="43"/>
    </row>
    <row r="66" spans="1:29" ht="13.5" customHeight="1" hidden="1">
      <c r="A66" s="74"/>
      <c r="B66" s="371"/>
      <c r="C66" s="371"/>
      <c r="D66" s="371"/>
      <c r="E66" s="371"/>
      <c r="F66" s="371"/>
      <c r="G66" s="371"/>
      <c r="H66" s="371"/>
      <c r="I66" s="371"/>
      <c r="J66" s="371"/>
      <c r="K66" s="371"/>
      <c r="L66" s="371"/>
      <c r="M66" s="371"/>
      <c r="N66" s="371"/>
      <c r="O66" s="371"/>
      <c r="P66" s="371"/>
      <c r="Q66" s="371"/>
      <c r="R66" s="371"/>
      <c r="S66" s="74"/>
      <c r="AB66" s="136"/>
      <c r="AC66" s="43"/>
    </row>
    <row r="67" spans="1:29" ht="13.5" customHeight="1" hidden="1">
      <c r="A67" s="74"/>
      <c r="B67" s="74" t="s">
        <v>410</v>
      </c>
      <c r="C67" s="74"/>
      <c r="D67" s="74"/>
      <c r="E67" s="74"/>
      <c r="F67" s="74"/>
      <c r="G67" s="74"/>
      <c r="H67" s="74"/>
      <c r="I67" s="74"/>
      <c r="J67" s="74"/>
      <c r="K67" s="74"/>
      <c r="L67" s="74"/>
      <c r="M67" s="74"/>
      <c r="N67" s="74"/>
      <c r="O67" s="74"/>
      <c r="P67" s="74"/>
      <c r="Q67" s="74"/>
      <c r="R67" s="74"/>
      <c r="S67" s="74"/>
      <c r="AB67" s="136"/>
      <c r="AC67" s="43"/>
    </row>
  </sheetData>
  <sheetProtection selectLockedCells="1" selectUnlockedCells="1"/>
  <mergeCells count="127">
    <mergeCell ref="R3:S3"/>
    <mergeCell ref="E6:F6"/>
    <mergeCell ref="O6:S6"/>
    <mergeCell ref="E7:F7"/>
    <mergeCell ref="O7:S7"/>
    <mergeCell ref="E8:G8"/>
    <mergeCell ref="O8:S8"/>
    <mergeCell ref="B14:D15"/>
    <mergeCell ref="E14:E15"/>
    <mergeCell ref="F14:F15"/>
    <mergeCell ref="G14:G15"/>
    <mergeCell ref="H14:L15"/>
    <mergeCell ref="M14:P14"/>
    <mergeCell ref="Q14:R15"/>
    <mergeCell ref="M15:N15"/>
    <mergeCell ref="O15:P15"/>
    <mergeCell ref="B16:D16"/>
    <mergeCell ref="H16:L16"/>
    <mergeCell ref="M16:N16"/>
    <mergeCell ref="O16:P16"/>
    <mergeCell ref="Q16:R16"/>
    <mergeCell ref="B17:D17"/>
    <mergeCell ref="H17:L17"/>
    <mergeCell ref="M17:N17"/>
    <mergeCell ref="O17:P17"/>
    <mergeCell ref="Q17:R17"/>
    <mergeCell ref="B18:D18"/>
    <mergeCell ref="H18:L18"/>
    <mergeCell ref="M18:N18"/>
    <mergeCell ref="O18:P18"/>
    <mergeCell ref="Q18:R18"/>
    <mergeCell ref="M19:N19"/>
    <mergeCell ref="O19:P19"/>
    <mergeCell ref="Q19:R19"/>
    <mergeCell ref="L20:M20"/>
    <mergeCell ref="L21:M21"/>
    <mergeCell ref="P21:Q21"/>
    <mergeCell ref="B22:R22"/>
    <mergeCell ref="B23:R23"/>
    <mergeCell ref="B24:R24"/>
    <mergeCell ref="B25:R25"/>
    <mergeCell ref="B26:R26"/>
    <mergeCell ref="B33:C34"/>
    <mergeCell ref="D33:D34"/>
    <mergeCell ref="E33:E34"/>
    <mergeCell ref="F33:F34"/>
    <mergeCell ref="G33:G34"/>
    <mergeCell ref="H33:L34"/>
    <mergeCell ref="M33:R33"/>
    <mergeCell ref="S33:T34"/>
    <mergeCell ref="M34:N34"/>
    <mergeCell ref="O34:P34"/>
    <mergeCell ref="Q34:R34"/>
    <mergeCell ref="B35:C35"/>
    <mergeCell ref="H35:L35"/>
    <mergeCell ref="M35:N35"/>
    <mergeCell ref="O35:P35"/>
    <mergeCell ref="Q35:R35"/>
    <mergeCell ref="S35:T35"/>
    <mergeCell ref="B36:C36"/>
    <mergeCell ref="H36:L36"/>
    <mergeCell ref="M36:N36"/>
    <mergeCell ref="O36:P36"/>
    <mergeCell ref="Q36:R36"/>
    <mergeCell ref="S36:T36"/>
    <mergeCell ref="M37:N37"/>
    <mergeCell ref="O37:P37"/>
    <mergeCell ref="Q37:R37"/>
    <mergeCell ref="S37:T37"/>
    <mergeCell ref="L38:M38"/>
    <mergeCell ref="L41:M41"/>
    <mergeCell ref="P41:Q41"/>
    <mergeCell ref="B42:R42"/>
    <mergeCell ref="B43:R43"/>
    <mergeCell ref="B44:R44"/>
    <mergeCell ref="B45:R45"/>
    <mergeCell ref="B46:R46"/>
    <mergeCell ref="B55:D56"/>
    <mergeCell ref="E55:E56"/>
    <mergeCell ref="F55:F56"/>
    <mergeCell ref="G55:G56"/>
    <mergeCell ref="H55:L56"/>
    <mergeCell ref="M55:R55"/>
    <mergeCell ref="S55:T56"/>
    <mergeCell ref="M56:N56"/>
    <mergeCell ref="O56:P56"/>
    <mergeCell ref="Q56:R56"/>
    <mergeCell ref="B57:D57"/>
    <mergeCell ref="H57:L57"/>
    <mergeCell ref="M57:N57"/>
    <mergeCell ref="O57:P57"/>
    <mergeCell ref="Q57:R57"/>
    <mergeCell ref="S57:T57"/>
    <mergeCell ref="B58:D58"/>
    <mergeCell ref="H58:L58"/>
    <mergeCell ref="M58:N58"/>
    <mergeCell ref="O58:P58"/>
    <mergeCell ref="Q58:R58"/>
    <mergeCell ref="S58:T58"/>
    <mergeCell ref="B59:D59"/>
    <mergeCell ref="H59:L59"/>
    <mergeCell ref="M59:N59"/>
    <mergeCell ref="O59:P59"/>
    <mergeCell ref="Q59:R59"/>
    <mergeCell ref="S59:T59"/>
    <mergeCell ref="B60:D60"/>
    <mergeCell ref="H60:L60"/>
    <mergeCell ref="M60:N60"/>
    <mergeCell ref="O60:P60"/>
    <mergeCell ref="Q60:R60"/>
    <mergeCell ref="S60:T60"/>
    <mergeCell ref="B61:D61"/>
    <mergeCell ref="H61:L61"/>
    <mergeCell ref="M61:N61"/>
    <mergeCell ref="O61:P61"/>
    <mergeCell ref="Q61:R61"/>
    <mergeCell ref="S61:T61"/>
    <mergeCell ref="M62:N62"/>
    <mergeCell ref="O62:P62"/>
    <mergeCell ref="Q62:R62"/>
    <mergeCell ref="S62:T62"/>
    <mergeCell ref="L63:M63"/>
    <mergeCell ref="L64:M64"/>
    <mergeCell ref="P64:Q64"/>
    <mergeCell ref="B65:R65"/>
    <mergeCell ref="B66:R66"/>
    <mergeCell ref="B67:R67"/>
  </mergeCells>
  <conditionalFormatting sqref="H16:H17 H35:H36 H57:H61">
    <cfRule type="expression" priority="1" dxfId="4" stopIfTrue="1">
      <formula>$B16&lt;&gt;""</formula>
    </cfRule>
  </conditionalFormatting>
  <dataValidations count="10">
    <dataValidation allowBlank="1" showInputMessage="1" showErrorMessage="1" prompt="Please choose the relevant tipp or remark from the list and copy it into this box, or add your own remark " sqref="B22 B42:R42 B65">
      <formula1>0</formula1>
      <formula2>0</formula2>
    </dataValidation>
    <dataValidation allowBlank="1" showInputMessage="1" showErrorMessage="1" prompt="Take the information from the device box." sqref="G57:G61">
      <formula1>0</formula1>
      <formula2>0</formula2>
    </dataValidation>
    <dataValidation type="list" showErrorMessage="1" sqref="H35:K36">
      <formula1>$X$34:$X$37</formula1>
      <formula2>0</formula2>
    </dataValidation>
    <dataValidation type="whole" allowBlank="1" showErrorMessage="1" error="Please choose a value between 1 und 7." sqref="E35:E36">
      <formula1>1</formula1>
      <formula2>7</formula2>
    </dataValidation>
    <dataValidation type="list" showErrorMessage="1" sqref="H16:L16 H17">
      <formula1>$X$18:$X$20</formula1>
      <formula2>0</formula2>
    </dataValidation>
    <dataValidation type="list" showErrorMessage="1" sqref="B16:D17">
      <formula1>$X$15:$X$17</formula1>
      <formula2>0</formula2>
    </dataValidation>
    <dataValidation type="list" allowBlank="1" showErrorMessage="1" sqref="F39">
      <formula1>$X$40:$X$42</formula1>
      <formula2>0</formula2>
    </dataValidation>
    <dataValidation type="list" allowBlank="1" showErrorMessage="1" sqref="C57:D61 B61">
      <formula1>$X$55:$X$59</formula1>
      <formula2>0</formula2>
    </dataValidation>
    <dataValidation type="list" showErrorMessage="1" sqref="H57:L61">
      <formula1>$X$61:$X$65</formula1>
      <formula2>0</formula2>
    </dataValidation>
    <dataValidation type="list" allowBlank="1" showErrorMessage="1" sqref="B57:B60">
      <formula1>'water savings'!$W$52:$W$55</formula1>
      <formula2>0</formula2>
    </dataValidation>
  </dataValidations>
  <printOptions/>
  <pageMargins left="0.7875" right="0.7875" top="0.9840277777777777" bottom="0.9840277777777777" header="0.5118055555555555" footer="0.5118055555555555"/>
  <pageSetup horizontalDpi="300" verticalDpi="300" orientation="portrait" paperSize="9"/>
  <colBreaks count="1" manualBreakCount="1">
    <brk id="20" max="65535" man="1"/>
  </colBreaks>
  <drawing r:id="rId1"/>
</worksheet>
</file>

<file path=xl/worksheets/sheet7.xml><?xml version="1.0" encoding="utf-8"?>
<worksheet xmlns="http://schemas.openxmlformats.org/spreadsheetml/2006/main" xmlns:r="http://schemas.openxmlformats.org/officeDocument/2006/relationships">
  <sheetPr>
    <tabColor indexed="12"/>
  </sheetPr>
  <dimension ref="A1:IV178"/>
  <sheetViews>
    <sheetView workbookViewId="0" topLeftCell="A1">
      <selection activeCell="G98" sqref="G98"/>
    </sheetView>
  </sheetViews>
  <sheetFormatPr defaultColWidth="9.140625" defaultRowHeight="12.75"/>
  <cols>
    <col min="1" max="1" width="1.8515625" style="1" customWidth="1"/>
    <col min="2" max="3" width="4.7109375" style="1" customWidth="1"/>
    <col min="4" max="4" width="3.00390625" style="1" customWidth="1"/>
    <col min="5" max="5" width="6.7109375" style="1" customWidth="1"/>
    <col min="6" max="6" width="6.57421875" style="1" customWidth="1"/>
    <col min="7" max="7" width="6.28125" style="1" customWidth="1"/>
    <col min="8" max="8" width="6.00390625" style="1" customWidth="1"/>
    <col min="9" max="10" width="4.7109375" style="1" customWidth="1"/>
    <col min="11" max="11" width="5.140625" style="1" customWidth="1"/>
    <col min="12" max="13" width="5.7109375" style="1" customWidth="1"/>
    <col min="14" max="14" width="4.7109375" style="1" customWidth="1"/>
    <col min="15" max="15" width="4.8515625" style="1" customWidth="1"/>
    <col min="16" max="17" width="4.7109375" style="1" customWidth="1"/>
    <col min="18" max="18" width="4.28125" style="1" customWidth="1"/>
    <col min="19" max="20" width="4.7109375" style="1" customWidth="1"/>
    <col min="21" max="21" width="4.8515625" style="1" customWidth="1"/>
    <col min="22" max="22" width="15.28125" style="1" customWidth="1"/>
    <col min="23" max="23" width="23.140625" style="1" hidden="1" customWidth="1"/>
    <col min="24" max="24" width="13.28125" style="1" hidden="1" customWidth="1"/>
    <col min="25" max="25" width="18.7109375" style="1" hidden="1" customWidth="1"/>
    <col min="26" max="16384" width="11.421875" style="1" customWidth="1"/>
  </cols>
  <sheetData>
    <row r="1" spans="1:256" ht="43.5" customHeight="1">
      <c r="A1"/>
      <c r="B1"/>
      <c r="C1" s="35"/>
      <c r="D1" s="35"/>
      <c r="E1"/>
      <c r="F1" s="36" t="s">
        <v>30</v>
      </c>
      <c r="G1" s="35"/>
      <c r="H1" s="35"/>
      <c r="I1" s="35"/>
      <c r="J1" s="35"/>
      <c r="K1" s="35"/>
      <c r="L1" s="35"/>
      <c r="M1" s="35"/>
      <c r="N1" s="35"/>
      <c r="O1" s="35"/>
      <c r="P1" s="35"/>
      <c r="Q1" s="35"/>
      <c r="R1" s="35"/>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75" customHeight="1">
      <c r="A2"/>
      <c r="B2"/>
      <c r="C2" s="35"/>
      <c r="D2" s="35"/>
      <c r="E2"/>
      <c r="F2" s="36"/>
      <c r="G2" s="35"/>
      <c r="H2" s="35"/>
      <c r="I2" s="35"/>
      <c r="J2" s="35"/>
      <c r="K2" s="35"/>
      <c r="L2" s="35"/>
      <c r="M2" s="35"/>
      <c r="N2" s="35"/>
      <c r="O2" s="35"/>
      <c r="P2" s="35"/>
      <c r="Q2" s="35"/>
      <c r="R2" s="35"/>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0.5" customHeight="1">
      <c r="A3"/>
      <c r="B3" s="308"/>
      <c r="C3" s="2"/>
      <c r="D3" s="2"/>
      <c r="E3" s="2"/>
      <c r="F3" s="2"/>
      <c r="G3" s="2"/>
      <c r="H3" s="2"/>
      <c r="I3" s="2"/>
      <c r="J3" s="2"/>
      <c r="K3" s="2"/>
      <c r="L3" s="2"/>
      <c r="M3"/>
      <c r="N3"/>
      <c r="O3" s="46" t="s">
        <v>31</v>
      </c>
      <c r="P3" s="309">
        <f>'household+building'!Q3</f>
        <v>0</v>
      </c>
      <c r="Q3" s="309"/>
      <c r="R3" s="2"/>
      <c r="S3"/>
      <c r="T3"/>
      <c r="U3"/>
      <c r="V3" s="19"/>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75" customHeight="1">
      <c r="A4"/>
      <c r="B4" s="53" t="s">
        <v>411</v>
      </c>
      <c r="C4" s="2"/>
      <c r="D4" s="2"/>
      <c r="E4" s="2"/>
      <c r="F4" s="2"/>
      <c r="G4" s="2"/>
      <c r="H4" s="2"/>
      <c r="I4" s="2"/>
      <c r="J4" s="2"/>
      <c r="K4" s="2"/>
      <c r="L4"/>
      <c r="M4" s="2"/>
      <c r="N4"/>
      <c r="O4" s="2"/>
      <c r="P4"/>
      <c r="Q4"/>
      <c r="R4"/>
      <c r="S4" s="2"/>
      <c r="T4" s="2"/>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0" s="11" customFormat="1" ht="12.75" customHeight="1">
      <c r="B5" s="53"/>
      <c r="C5" s="82"/>
      <c r="D5" s="82"/>
      <c r="E5" s="82"/>
      <c r="F5" s="82"/>
      <c r="G5" s="82"/>
      <c r="H5" s="82"/>
      <c r="I5" s="82"/>
      <c r="J5" s="82"/>
      <c r="K5" s="82"/>
      <c r="M5" s="82"/>
      <c r="O5" s="82"/>
      <c r="P5" s="82"/>
      <c r="Q5" s="82"/>
      <c r="R5" s="82"/>
      <c r="S5" s="82"/>
      <c r="T5" s="82"/>
    </row>
    <row r="6" spans="1:256" ht="12.75" customHeight="1">
      <c r="A6" s="59"/>
      <c r="C6" s="59"/>
      <c r="D6" s="59"/>
      <c r="F6" s="70" t="s">
        <v>412</v>
      </c>
      <c r="G6" s="147">
        <f>'household+building'!G10:J10</f>
        <v>0</v>
      </c>
      <c r="H6" s="147"/>
      <c r="I6" s="147"/>
      <c r="J6" s="59"/>
      <c r="L6"/>
      <c r="M6"/>
      <c r="N6"/>
      <c r="O6" s="70" t="s">
        <v>413</v>
      </c>
      <c r="P6" s="524">
        <f>'household+building'!O10</f>
        <v>0</v>
      </c>
      <c r="Q6" s="524"/>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 customHeight="1">
      <c r="A7"/>
      <c r="F7" s="192" t="s">
        <v>75</v>
      </c>
      <c r="G7" s="147">
        <f>'household+building'!G20:I20</f>
        <v>0</v>
      </c>
      <c r="H7" s="147"/>
      <c r="I7" s="147"/>
      <c r="J7" s="81"/>
      <c r="L7"/>
      <c r="M7"/>
      <c r="N7"/>
      <c r="O7"/>
      <c r="P7" s="102"/>
      <c r="Q7" s="102"/>
      <c r="R7" s="49"/>
      <c r="S7" s="2"/>
      <c r="T7" s="2"/>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6:20" s="49" customFormat="1" ht="12" customHeight="1">
      <c r="F8" s="61" t="s">
        <v>42</v>
      </c>
      <c r="G8" s="147">
        <f>'household+building'!G11</f>
        <v>0</v>
      </c>
      <c r="H8" s="147"/>
      <c r="I8" s="147"/>
      <c r="J8" s="35"/>
      <c r="O8" s="46" t="s">
        <v>414</v>
      </c>
      <c r="P8" s="492">
        <f>'household+building'!G24</f>
        <v>0</v>
      </c>
      <c r="Q8" s="492"/>
      <c r="R8" s="59" t="s">
        <v>98</v>
      </c>
      <c r="S8" s="312"/>
      <c r="T8" s="312"/>
    </row>
    <row r="9" spans="1:256" ht="12" customHeight="1">
      <c r="A9" s="49"/>
      <c r="B9" s="49"/>
      <c r="C9" s="49"/>
      <c r="D9" s="49"/>
      <c r="E9" s="49"/>
      <c r="F9" s="70" t="s">
        <v>415</v>
      </c>
      <c r="G9" s="525">
        <f>IF('data price+co2+consumption'!B86&gt;0,'data price+co2+consumption'!B86,'data price+co2+consumption'!B90)</f>
        <v>0</v>
      </c>
      <c r="H9" s="525"/>
      <c r="I9" s="526" t="s">
        <v>147</v>
      </c>
      <c r="J9" s="35"/>
      <c r="K9" s="49"/>
      <c r="L9" s="46" t="s">
        <v>201</v>
      </c>
      <c r="M9" s="524">
        <f>'household+building'!H85</f>
        <v>0</v>
      </c>
      <c r="N9" s="524"/>
      <c r="O9" s="524"/>
      <c r="P9" s="524"/>
      <c r="Q9" s="524"/>
      <c r="R9" s="59"/>
      <c r="S9" s="312"/>
      <c r="T9" s="312"/>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2" s="11" customFormat="1" ht="13.5" customHeight="1">
      <c r="A10" s="59"/>
      <c r="B10" s="527"/>
      <c r="C10" s="59"/>
      <c r="D10" s="59"/>
      <c r="E10" s="59"/>
      <c r="F10" s="310" t="s">
        <v>416</v>
      </c>
      <c r="G10" s="147">
        <f>'household+building'!H88</f>
        <v>0</v>
      </c>
      <c r="H10" s="147"/>
      <c r="I10" s="147"/>
      <c r="J10" s="59"/>
      <c r="K10" s="59"/>
      <c r="L10" s="46" t="s">
        <v>417</v>
      </c>
      <c r="M10" s="524">
        <f>'household+building'!H86</f>
        <v>0</v>
      </c>
      <c r="N10" s="524"/>
      <c r="O10" s="524"/>
      <c r="P10" s="524"/>
      <c r="Q10" s="524"/>
      <c r="V10" s="528"/>
    </row>
    <row r="11" spans="1:256" ht="6.75" customHeight="1">
      <c r="A11" s="59"/>
      <c r="B11" s="527"/>
      <c r="C11" s="59"/>
      <c r="D11" s="59"/>
      <c r="E11" s="59"/>
      <c r="F11" s="310"/>
      <c r="G11" s="529"/>
      <c r="H11" s="529"/>
      <c r="I11" s="529"/>
      <c r="J11" s="59"/>
      <c r="K11" s="59"/>
      <c r="L11" s="59"/>
      <c r="M11" s="59"/>
      <c r="N11" s="59"/>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6.75" customHeight="1">
      <c r="A12" s="530"/>
      <c r="B12" s="531"/>
      <c r="C12" s="530"/>
      <c r="D12" s="530"/>
      <c r="E12" s="530"/>
      <c r="F12" s="530"/>
      <c r="G12" s="530"/>
      <c r="H12" s="530"/>
      <c r="I12" s="530"/>
      <c r="J12" s="530"/>
      <c r="K12" s="530"/>
      <c r="L12" s="530"/>
      <c r="M12" s="530"/>
      <c r="N12" s="530"/>
      <c r="O12" s="95"/>
      <c r="P12" s="95"/>
      <c r="Q12" s="95"/>
      <c r="R12" s="95"/>
      <c r="S12" s="94"/>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6" customHeight="1">
      <c r="A13" s="59"/>
      <c r="B13" s="532"/>
      <c r="C13" s="11"/>
      <c r="D13" s="11"/>
      <c r="E13" s="11"/>
      <c r="F13" s="11"/>
      <c r="G13" s="11"/>
      <c r="H13" s="11"/>
      <c r="I13" s="11"/>
      <c r="J13" s="11"/>
      <c r="K13" s="533"/>
      <c r="L13"/>
      <c r="M13"/>
      <c r="N13"/>
      <c r="O13" s="238"/>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2" s="5" customFormat="1" ht="15.75" customHeight="1">
      <c r="A14" s="59"/>
      <c r="B14" s="534" t="s">
        <v>418</v>
      </c>
      <c r="C14" s="74"/>
      <c r="D14" s="74"/>
      <c r="E14" s="74"/>
      <c r="F14" s="74"/>
      <c r="G14" s="74"/>
      <c r="H14" s="74"/>
      <c r="I14" s="74"/>
      <c r="J14" s="74"/>
      <c r="K14" s="74"/>
      <c r="L14" s="74"/>
      <c r="N14" s="74"/>
      <c r="O14" s="402"/>
      <c r="P14" s="373"/>
      <c r="Q14" s="373"/>
      <c r="V14" s="5" t="s">
        <v>419</v>
      </c>
    </row>
    <row r="15" spans="1:22" s="5" customFormat="1" ht="15.75" customHeight="1">
      <c r="A15" s="59"/>
      <c r="B15"/>
      <c r="C15" s="74"/>
      <c r="D15" s="74"/>
      <c r="E15" s="74"/>
      <c r="F15" s="74"/>
      <c r="G15" s="74"/>
      <c r="H15" s="74"/>
      <c r="I15" s="74"/>
      <c r="J15" s="74"/>
      <c r="K15" s="74"/>
      <c r="L15" s="74"/>
      <c r="M15" s="74"/>
      <c r="N15" s="74"/>
      <c r="O15" s="402"/>
      <c r="P15" s="373"/>
      <c r="Q15" s="373"/>
      <c r="V15" s="5" t="s">
        <v>420</v>
      </c>
    </row>
    <row r="16" spans="1:22" s="5" customFormat="1" ht="15.75" customHeight="1">
      <c r="A16" s="59"/>
      <c r="B16"/>
      <c r="C16" s="74"/>
      <c r="D16" s="74"/>
      <c r="E16" s="74"/>
      <c r="F16" s="74"/>
      <c r="G16" s="74"/>
      <c r="H16" s="74"/>
      <c r="I16" s="74"/>
      <c r="J16" s="74"/>
      <c r="K16" s="87" t="s">
        <v>421</v>
      </c>
      <c r="L16" s="47"/>
      <c r="M16" s="47"/>
      <c r="N16" s="47"/>
      <c r="O16" s="47"/>
      <c r="P16" s="47"/>
      <c r="Q16" s="47"/>
      <c r="V16"/>
    </row>
    <row r="17" spans="1:256" ht="15.75" customHeight="1">
      <c r="A17" s="59"/>
      <c r="B17"/>
      <c r="C17" s="74"/>
      <c r="D17" s="74"/>
      <c r="E17" s="74"/>
      <c r="F17" s="74"/>
      <c r="G17" s="74"/>
      <c r="H17" s="74"/>
      <c r="I17" s="74"/>
      <c r="J17" s="74"/>
      <c r="K17" s="87" t="s">
        <v>422</v>
      </c>
      <c r="L17" s="47"/>
      <c r="M17" s="47"/>
      <c r="N17" s="47"/>
      <c r="O17" s="47"/>
      <c r="P17" s="47"/>
      <c r="Q17" s="47"/>
      <c r="R17" s="5"/>
      <c r="S17" s="5"/>
      <c r="T17" s="5"/>
      <c r="U17" s="5"/>
      <c r="V17" s="5" t="s">
        <v>423</v>
      </c>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s="59"/>
      <c r="B18"/>
      <c r="C18" s="74"/>
      <c r="D18" s="74"/>
      <c r="E18" s="74"/>
      <c r="F18" s="74"/>
      <c r="G18" s="74"/>
      <c r="H18" s="74"/>
      <c r="I18" s="74"/>
      <c r="J18" s="74"/>
      <c r="K18" s="87" t="s">
        <v>424</v>
      </c>
      <c r="L18" s="47"/>
      <c r="M18" s="47"/>
      <c r="N18" s="47"/>
      <c r="O18" s="47"/>
      <c r="P18" s="47"/>
      <c r="Q18" s="47"/>
      <c r="R18" s="5"/>
      <c r="S18" s="5"/>
      <c r="T18" s="5"/>
      <c r="U18" s="5"/>
      <c r="V18" s="5" t="s">
        <v>425</v>
      </c>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59"/>
      <c r="B19"/>
      <c r="C19" s="74"/>
      <c r="D19"/>
      <c r="E19"/>
      <c r="F19"/>
      <c r="G19"/>
      <c r="H19"/>
      <c r="I19"/>
      <c r="J19"/>
      <c r="K19" s="87" t="s">
        <v>426</v>
      </c>
      <c r="L19" s="47"/>
      <c r="M19" s="47"/>
      <c r="N19" s="47"/>
      <c r="O19" s="47"/>
      <c r="P19" s="47"/>
      <c r="Q19" s="47"/>
      <c r="R19" s="5"/>
      <c r="S19" s="5"/>
      <c r="T19" s="5"/>
      <c r="U19" s="5"/>
      <c r="V19" s="5" t="s">
        <v>427</v>
      </c>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1.25" customHeight="1">
      <c r="A20"/>
      <c r="B20"/>
      <c r="C20"/>
      <c r="D20"/>
      <c r="E20"/>
      <c r="F20"/>
      <c r="G20"/>
      <c r="H20"/>
      <c r="I20"/>
      <c r="J20"/>
      <c r="K20" s="192" t="s">
        <v>428</v>
      </c>
      <c r="L20" s="47"/>
      <c r="M20" s="47"/>
      <c r="N20" s="47"/>
      <c r="O20" s="47"/>
      <c r="P20" s="47"/>
      <c r="Q20" s="47"/>
      <c r="R20" s="5"/>
      <c r="S20" s="5"/>
      <c r="T20" s="5"/>
      <c r="U20" s="5"/>
      <c r="V20" s="5" t="s">
        <v>113</v>
      </c>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0.5" customHeight="1">
      <c r="A21"/>
      <c r="B21"/>
      <c r="C21"/>
      <c r="D21"/>
      <c r="E21"/>
      <c r="F21"/>
      <c r="G21"/>
      <c r="H21"/>
      <c r="I21"/>
      <c r="J21"/>
      <c r="K21"/>
      <c r="L21"/>
      <c r="M21"/>
      <c r="N21"/>
      <c r="O21"/>
      <c r="P21"/>
      <c r="Q21"/>
      <c r="R21" s="5"/>
      <c r="S21" s="5"/>
      <c r="T21" s="5"/>
      <c r="U21" s="5"/>
      <c r="V21" s="5" t="s">
        <v>429</v>
      </c>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25" customHeight="1">
      <c r="A22" s="530"/>
      <c r="B22" s="531"/>
      <c r="C22" s="530"/>
      <c r="D22" s="530"/>
      <c r="E22" s="530"/>
      <c r="F22" s="530"/>
      <c r="G22" s="530"/>
      <c r="H22" s="530"/>
      <c r="I22" s="530"/>
      <c r="J22" s="530"/>
      <c r="K22" s="530"/>
      <c r="L22" s="530"/>
      <c r="M22" s="530"/>
      <c r="N22" s="530"/>
      <c r="O22" s="95"/>
      <c r="P22" s="95"/>
      <c r="Q22" s="95"/>
      <c r="R22" s="95"/>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15" s="11" customFormat="1" ht="6" customHeight="1">
      <c r="A23" s="59"/>
      <c r="B23" s="532"/>
      <c r="K23" s="238"/>
      <c r="O23" s="238"/>
    </row>
    <row r="24" spans="1:256" ht="17.25" customHeight="1">
      <c r="A24" s="59"/>
      <c r="B24" s="535" t="s">
        <v>430</v>
      </c>
      <c r="C24" s="11"/>
      <c r="D24" s="11"/>
      <c r="E24" s="11"/>
      <c r="F24" s="11"/>
      <c r="G24"/>
      <c r="H24"/>
      <c r="I24"/>
      <c r="J24"/>
      <c r="K24"/>
      <c r="L24"/>
      <c r="M24"/>
      <c r="N24"/>
      <c r="O24"/>
      <c r="P24"/>
      <c r="Q24"/>
      <c r="R24"/>
      <c r="S24"/>
      <c r="T24"/>
      <c r="U24"/>
      <c r="V24" s="5" t="s">
        <v>281</v>
      </c>
      <c r="W24" s="74"/>
      <c r="X24" s="11"/>
      <c r="Y24" s="11"/>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9" customHeight="1">
      <c r="A25"/>
      <c r="G25"/>
      <c r="H25"/>
      <c r="I25"/>
      <c r="J25"/>
      <c r="K25"/>
      <c r="L25"/>
      <c r="M25"/>
      <c r="N25"/>
      <c r="O25"/>
      <c r="P25"/>
      <c r="Q25"/>
      <c r="R25"/>
      <c r="S25"/>
      <c r="T25"/>
      <c r="U25"/>
      <c r="V25" s="5" t="s">
        <v>283</v>
      </c>
      <c r="W25" s="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4.25">
      <c r="A26"/>
      <c r="B26" s="536"/>
      <c r="F26" s="87" t="s">
        <v>431</v>
      </c>
      <c r="G26" s="537"/>
      <c r="H26" s="537"/>
      <c r="I26"/>
      <c r="J26"/>
      <c r="K26"/>
      <c r="L26"/>
      <c r="M26"/>
      <c r="N26" s="135"/>
      <c r="O26"/>
      <c r="P26" s="192" t="s">
        <v>432</v>
      </c>
      <c r="Q26" s="103"/>
      <c r="R26" s="103"/>
      <c r="S26"/>
      <c r="T26"/>
      <c r="U26"/>
      <c r="V26" s="5" t="s">
        <v>284</v>
      </c>
      <c r="W26" s="74"/>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0.5" customHeight="1">
      <c r="A27" s="59"/>
      <c r="B27" s="511" t="s">
        <v>433</v>
      </c>
      <c r="C27" s="11"/>
      <c r="D27" s="11"/>
      <c r="E27"/>
      <c r="F27"/>
      <c r="G27"/>
      <c r="H27" s="11"/>
      <c r="I27" s="11"/>
      <c r="J27" s="11"/>
      <c r="K27" s="11"/>
      <c r="L27" s="11"/>
      <c r="M27" s="11"/>
      <c r="N27" s="11"/>
      <c r="O27" s="11"/>
      <c r="P27"/>
      <c r="Q27"/>
      <c r="R27"/>
      <c r="S27"/>
      <c r="T27"/>
      <c r="U27"/>
      <c r="V27" s="5" t="s">
        <v>285</v>
      </c>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3.5" customHeight="1">
      <c r="A28" s="59"/>
      <c r="B28" s="538" t="s">
        <v>434</v>
      </c>
      <c r="C28" s="538"/>
      <c r="D28" s="538"/>
      <c r="E28" s="539" t="s">
        <v>435</v>
      </c>
      <c r="F28" s="330" t="s">
        <v>436</v>
      </c>
      <c r="G28" s="330"/>
      <c r="H28" s="538" t="s">
        <v>437</v>
      </c>
      <c r="I28" s="538" t="s">
        <v>438</v>
      </c>
      <c r="J28" s="538"/>
      <c r="K28" s="538"/>
      <c r="L28" s="538"/>
      <c r="M28" s="330" t="s">
        <v>279</v>
      </c>
      <c r="N28" s="330"/>
      <c r="O28" s="330"/>
      <c r="P28" s="330"/>
      <c r="Q28" s="538" t="s">
        <v>439</v>
      </c>
      <c r="R28" s="538"/>
      <c r="S28"/>
      <c r="T28"/>
      <c r="U28"/>
      <c r="V28" s="5" t="s">
        <v>286</v>
      </c>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 s="74" customFormat="1" ht="20.25" customHeight="1">
      <c r="A29" s="540"/>
      <c r="B29" s="538"/>
      <c r="C29" s="538"/>
      <c r="D29" s="538"/>
      <c r="E29" s="539"/>
      <c r="F29" s="538" t="s">
        <v>440</v>
      </c>
      <c r="G29" s="538" t="s">
        <v>441</v>
      </c>
      <c r="H29" s="538"/>
      <c r="I29" s="538"/>
      <c r="J29" s="538"/>
      <c r="K29" s="538"/>
      <c r="L29" s="538"/>
      <c r="M29" s="330" t="s">
        <v>155</v>
      </c>
      <c r="N29" s="330"/>
      <c r="O29" s="330" t="s">
        <v>282</v>
      </c>
      <c r="P29" s="330"/>
      <c r="Q29" s="538"/>
      <c r="R29" s="538"/>
      <c r="V29" s="5" t="s">
        <v>287</v>
      </c>
      <c r="W29" s="1"/>
      <c r="X29" s="541">
        <f>'data devices+costs'!D62</f>
        <v>0</v>
      </c>
      <c r="Y29" s="74" t="s">
        <v>442</v>
      </c>
    </row>
    <row r="30" spans="1:256" ht="16.5" customHeight="1">
      <c r="A30" s="540"/>
      <c r="B30" s="542"/>
      <c r="C30" s="542"/>
      <c r="D30" s="542"/>
      <c r="E30" s="145">
        <v>1</v>
      </c>
      <c r="F30" s="47"/>
      <c r="G30" s="47"/>
      <c r="H30" s="309">
        <f aca="true" t="shared" si="0" ref="H30:H39">F30*2+G30*2</f>
        <v>0</v>
      </c>
      <c r="I30" s="543"/>
      <c r="J30" s="543"/>
      <c r="K30" s="543"/>
      <c r="L30" s="543"/>
      <c r="M30" s="147">
        <f aca="true" t="shared" si="1" ref="M30:M39">IF(Q$26&lt;=0,0,ROUND(G$9*Y$30*E30/Q$26,-1))</f>
        <v>0</v>
      </c>
      <c r="N30" s="147"/>
      <c r="O30" s="544">
        <f>M30*'household+building'!H$83</f>
        <v>0</v>
      </c>
      <c r="P30" s="544"/>
      <c r="Q30" s="545">
        <f aca="true" t="shared" si="2" ref="Q30:Q39">IF(I30=W$30,X$30,IF(I30=W$31,X$31,0))*H30</f>
        <v>0</v>
      </c>
      <c r="R30" s="545"/>
      <c r="S30"/>
      <c r="T30" s="498"/>
      <c r="U30"/>
      <c r="V30" s="5" t="s">
        <v>288</v>
      </c>
      <c r="W30" s="5">
        <f>'data devices+costs'!B63</f>
        <v>0</v>
      </c>
      <c r="X30" s="541">
        <f>'data devices+costs'!D63</f>
        <v>1</v>
      </c>
      <c r="Y30" s="546">
        <v>0.03</v>
      </c>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c r="A31" s="540"/>
      <c r="B31" s="542"/>
      <c r="C31" s="542"/>
      <c r="D31" s="542"/>
      <c r="E31" s="145"/>
      <c r="F31" s="47"/>
      <c r="G31" s="47"/>
      <c r="H31" s="309">
        <f t="shared" si="0"/>
        <v>0</v>
      </c>
      <c r="I31" s="543"/>
      <c r="J31" s="543"/>
      <c r="K31" s="543"/>
      <c r="L31" s="543"/>
      <c r="M31" s="147">
        <f t="shared" si="1"/>
        <v>0</v>
      </c>
      <c r="N31" s="147"/>
      <c r="O31" s="544">
        <f>M31*'household+building'!H$83</f>
        <v>0</v>
      </c>
      <c r="P31" s="544"/>
      <c r="Q31" s="545">
        <f t="shared" si="2"/>
        <v>0</v>
      </c>
      <c r="R31" s="545"/>
      <c r="S31"/>
      <c r="T31"/>
      <c r="U31"/>
      <c r="V31" s="5" t="s">
        <v>289</v>
      </c>
      <c r="W31" s="5">
        <f>'data devices+costs'!B64</f>
        <v>0</v>
      </c>
      <c r="X31" s="541">
        <f>'data devices+costs'!D64</f>
        <v>0</v>
      </c>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c r="A32" s="540"/>
      <c r="B32" s="542"/>
      <c r="C32" s="542"/>
      <c r="D32" s="542"/>
      <c r="E32" s="145"/>
      <c r="F32" s="47"/>
      <c r="G32" s="47"/>
      <c r="H32" s="309">
        <f t="shared" si="0"/>
        <v>0</v>
      </c>
      <c r="I32" s="543"/>
      <c r="J32" s="543"/>
      <c r="K32" s="543"/>
      <c r="L32" s="543"/>
      <c r="M32" s="147">
        <f t="shared" si="1"/>
        <v>0</v>
      </c>
      <c r="N32" s="147"/>
      <c r="O32" s="544">
        <f>M32*'household+building'!H$83</f>
        <v>0</v>
      </c>
      <c r="P32" s="544"/>
      <c r="Q32" s="545">
        <f t="shared" si="2"/>
        <v>0</v>
      </c>
      <c r="R32" s="545"/>
      <c r="S32"/>
      <c r="T32"/>
      <c r="U32"/>
      <c r="V32" s="5" t="s">
        <v>290</v>
      </c>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6.5" customHeight="1">
      <c r="A33" s="540"/>
      <c r="B33" s="542"/>
      <c r="C33" s="542"/>
      <c r="D33" s="542"/>
      <c r="E33" s="145"/>
      <c r="F33" s="47"/>
      <c r="G33" s="47"/>
      <c r="H33" s="309">
        <f t="shared" si="0"/>
        <v>0</v>
      </c>
      <c r="I33" s="543"/>
      <c r="J33" s="543"/>
      <c r="K33" s="543"/>
      <c r="L33" s="543"/>
      <c r="M33" s="147">
        <f t="shared" si="1"/>
        <v>0</v>
      </c>
      <c r="N33" s="147"/>
      <c r="O33" s="544">
        <f>M33*'household+building'!H$83</f>
        <v>0</v>
      </c>
      <c r="P33" s="544"/>
      <c r="Q33" s="545">
        <f t="shared" si="2"/>
        <v>0</v>
      </c>
      <c r="R33" s="545"/>
      <c r="S33"/>
      <c r="T33"/>
      <c r="U33"/>
      <c r="V33" s="5" t="s">
        <v>291</v>
      </c>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6.5" customHeight="1">
      <c r="A34" s="540"/>
      <c r="B34" s="542"/>
      <c r="C34" s="542"/>
      <c r="D34" s="542"/>
      <c r="E34" s="145"/>
      <c r="F34" s="47"/>
      <c r="G34" s="47"/>
      <c r="H34" s="309">
        <f t="shared" si="0"/>
        <v>0</v>
      </c>
      <c r="I34" s="543"/>
      <c r="J34" s="543"/>
      <c r="K34" s="543"/>
      <c r="L34" s="543"/>
      <c r="M34" s="147">
        <f t="shared" si="1"/>
        <v>0</v>
      </c>
      <c r="N34" s="147"/>
      <c r="O34" s="544">
        <f>M34*'household+building'!H$83</f>
        <v>0</v>
      </c>
      <c r="P34" s="544"/>
      <c r="Q34" s="545">
        <f t="shared" si="2"/>
        <v>0</v>
      </c>
      <c r="R34" s="545"/>
      <c r="S34"/>
      <c r="T34"/>
      <c r="U34"/>
      <c r="V34" s="5" t="s">
        <v>292</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6.5" customHeight="1">
      <c r="A35" s="540"/>
      <c r="B35" s="542"/>
      <c r="C35" s="542"/>
      <c r="D35" s="542"/>
      <c r="E35" s="145"/>
      <c r="F35" s="47"/>
      <c r="G35" s="47"/>
      <c r="H35" s="309">
        <f t="shared" si="0"/>
        <v>0</v>
      </c>
      <c r="I35" s="543"/>
      <c r="J35" s="543"/>
      <c r="K35" s="543"/>
      <c r="L35" s="543"/>
      <c r="M35" s="147">
        <f t="shared" si="1"/>
        <v>0</v>
      </c>
      <c r="N35" s="147"/>
      <c r="O35" s="544">
        <f>M35*'household+building'!H$83</f>
        <v>0</v>
      </c>
      <c r="P35" s="544"/>
      <c r="Q35" s="545">
        <f t="shared" si="2"/>
        <v>0</v>
      </c>
      <c r="R35" s="545"/>
      <c r="S35"/>
      <c r="T35"/>
      <c r="U35"/>
      <c r="V35" s="5" t="s">
        <v>443</v>
      </c>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6.5" customHeight="1">
      <c r="A36" s="540"/>
      <c r="B36" s="542"/>
      <c r="C36" s="542"/>
      <c r="D36" s="542"/>
      <c r="E36" s="145"/>
      <c r="F36" s="47"/>
      <c r="G36" s="47"/>
      <c r="H36" s="309">
        <f t="shared" si="0"/>
        <v>0</v>
      </c>
      <c r="I36" s="543"/>
      <c r="J36" s="543"/>
      <c r="K36" s="543"/>
      <c r="L36" s="543"/>
      <c r="M36" s="147">
        <f t="shared" si="1"/>
        <v>0</v>
      </c>
      <c r="N36" s="147"/>
      <c r="O36" s="544">
        <f>M36*'household+building'!H$83</f>
        <v>0</v>
      </c>
      <c r="P36" s="544"/>
      <c r="Q36" s="545">
        <f t="shared" si="2"/>
        <v>0</v>
      </c>
      <c r="R36" s="545"/>
      <c r="S36"/>
      <c r="T36"/>
      <c r="U36"/>
      <c r="V36" s="5"/>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6.5" customHeight="1">
      <c r="A37" s="540"/>
      <c r="B37" s="542"/>
      <c r="C37" s="542"/>
      <c r="D37" s="542"/>
      <c r="E37" s="145"/>
      <c r="F37" s="47"/>
      <c r="G37" s="47"/>
      <c r="H37" s="309">
        <f t="shared" si="0"/>
        <v>0</v>
      </c>
      <c r="I37" s="543"/>
      <c r="J37" s="543"/>
      <c r="K37" s="543"/>
      <c r="L37" s="543"/>
      <c r="M37" s="147">
        <f t="shared" si="1"/>
        <v>0</v>
      </c>
      <c r="N37" s="147"/>
      <c r="O37" s="544">
        <f>M37*'household+building'!H$83</f>
        <v>0</v>
      </c>
      <c r="P37" s="544"/>
      <c r="Q37" s="545">
        <f t="shared" si="2"/>
        <v>0</v>
      </c>
      <c r="R37" s="545"/>
      <c r="S37"/>
      <c r="T37" s="360"/>
      <c r="U37"/>
      <c r="V37" s="5"/>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6.5" customHeight="1" hidden="1">
      <c r="A38" s="540"/>
      <c r="B38" s="542"/>
      <c r="C38" s="542"/>
      <c r="D38" s="542"/>
      <c r="E38" s="145"/>
      <c r="F38" s="47"/>
      <c r="G38" s="47"/>
      <c r="H38" s="309">
        <f t="shared" si="0"/>
        <v>0</v>
      </c>
      <c r="I38" s="543"/>
      <c r="J38" s="543"/>
      <c r="K38" s="543"/>
      <c r="L38" s="543"/>
      <c r="M38" s="147">
        <f t="shared" si="1"/>
        <v>0</v>
      </c>
      <c r="N38" s="147"/>
      <c r="O38" s="544">
        <f>M38*'household+building'!H$83</f>
        <v>0</v>
      </c>
      <c r="P38" s="544"/>
      <c r="Q38" s="545">
        <f t="shared" si="2"/>
        <v>0</v>
      </c>
      <c r="R38" s="545"/>
      <c r="S38"/>
      <c r="T38" s="360"/>
      <c r="U38"/>
      <c r="V38" s="5"/>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6.5" customHeight="1" hidden="1">
      <c r="A39" s="540"/>
      <c r="B39" s="542"/>
      <c r="C39" s="542"/>
      <c r="D39" s="542"/>
      <c r="E39" s="145"/>
      <c r="F39" s="47"/>
      <c r="G39" s="47"/>
      <c r="H39" s="547">
        <f t="shared" si="0"/>
        <v>0</v>
      </c>
      <c r="I39" s="543"/>
      <c r="J39" s="543"/>
      <c r="K39" s="543"/>
      <c r="L39" s="543"/>
      <c r="M39" s="147">
        <f t="shared" si="1"/>
        <v>0</v>
      </c>
      <c r="N39" s="147"/>
      <c r="O39" s="544">
        <f>M39*'household+building'!H$83</f>
        <v>0</v>
      </c>
      <c r="P39" s="544"/>
      <c r="Q39" s="545">
        <f t="shared" si="2"/>
        <v>0</v>
      </c>
      <c r="R39" s="545"/>
      <c r="S39"/>
      <c r="T39" s="548"/>
      <c r="U39"/>
      <c r="V39" s="5"/>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75" customHeight="1">
      <c r="A40" s="540"/>
      <c r="B40" s="549"/>
      <c r="C40" s="549"/>
      <c r="D40" s="549"/>
      <c r="E40" s="550">
        <f>SUM(E30:E39)</f>
        <v>1</v>
      </c>
      <c r="F40" s="44"/>
      <c r="G40" s="44"/>
      <c r="H40" s="550">
        <f>SUM(H30:H39)</f>
        <v>0</v>
      </c>
      <c r="I40" s="74" t="s">
        <v>444</v>
      </c>
      <c r="J40" s="402"/>
      <c r="K40" s="402"/>
      <c r="L40" s="347" t="s">
        <v>445</v>
      </c>
      <c r="M40" s="551">
        <f>SUM(M30:N39)</f>
        <v>0</v>
      </c>
      <c r="N40" s="551"/>
      <c r="O40" s="552">
        <f>SUM(O30:P39)</f>
        <v>0</v>
      </c>
      <c r="P40" s="552"/>
      <c r="Q40" s="552">
        <f>SUM(Q30:R39)</f>
        <v>0</v>
      </c>
      <c r="R40" s="552"/>
      <c r="S40" s="548"/>
      <c r="T40"/>
      <c r="U40"/>
      <c r="V40" s="5"/>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 customHeight="1">
      <c r="A41" s="540"/>
      <c r="B41" s="549"/>
      <c r="C41" s="549"/>
      <c r="D41" s="549"/>
      <c r="E41" s="44"/>
      <c r="F41" s="44"/>
      <c r="G41" s="44"/>
      <c r="H41"/>
      <c r="I41"/>
      <c r="J41" s="402"/>
      <c r="K41" s="402"/>
      <c r="L41" s="402"/>
      <c r="M41" s="402"/>
      <c r="N41" s="402"/>
      <c r="O41"/>
      <c r="P41"/>
      <c r="Q41" s="64"/>
      <c r="R41"/>
      <c r="S41"/>
      <c r="T41"/>
      <c r="U41"/>
      <c r="V41" s="5"/>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9" customHeight="1" hidden="1">
      <c r="A42" s="540"/>
      <c r="B42" s="549"/>
      <c r="C42" s="549"/>
      <c r="D42" s="549"/>
      <c r="E42" s="44"/>
      <c r="F42"/>
      <c r="G42"/>
      <c r="H42"/>
      <c r="I42"/>
      <c r="J42" s="402"/>
      <c r="K42" s="402"/>
      <c r="L42" s="402"/>
      <c r="M42"/>
      <c r="N42"/>
      <c r="O42"/>
      <c r="P42"/>
      <c r="Q42"/>
      <c r="R42"/>
      <c r="S42"/>
      <c r="T42"/>
      <c r="U42"/>
      <c r="V42" s="5"/>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4.25" customHeight="1" hidden="1">
      <c r="A43" s="540"/>
      <c r="B43" s="549"/>
      <c r="C43" s="549"/>
      <c r="D43" s="549"/>
      <c r="E43"/>
      <c r="F43" s="87" t="s">
        <v>446</v>
      </c>
      <c r="G43" s="537"/>
      <c r="H43" s="537"/>
      <c r="I43"/>
      <c r="J43" s="402"/>
      <c r="K43"/>
      <c r="L43"/>
      <c r="M43"/>
      <c r="N43"/>
      <c r="O43" s="87">
        <f>'household+building'!F22</f>
        <v>0</v>
      </c>
      <c r="P43" s="147">
        <f>'household+building'!G22</f>
        <v>0</v>
      </c>
      <c r="Q43" s="147">
        <f>'household+building'!H22</f>
        <v>0</v>
      </c>
      <c r="R43" s="147"/>
      <c r="S43"/>
      <c r="T43"/>
      <c r="U43"/>
      <c r="V43" s="74" t="s">
        <v>107</v>
      </c>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7.5" customHeight="1" hidden="1">
      <c r="A44" s="540"/>
      <c r="B44" s="549"/>
      <c r="C44" s="549"/>
      <c r="D44" s="549"/>
      <c r="E44"/>
      <c r="F44"/>
      <c r="G44"/>
      <c r="H44"/>
      <c r="I44"/>
      <c r="J44" s="402"/>
      <c r="K44" s="402"/>
      <c r="L44" s="402"/>
      <c r="M44" s="402"/>
      <c r="N44" s="402"/>
      <c r="O44"/>
      <c r="P44"/>
      <c r="Q44" s="64"/>
      <c r="R44"/>
      <c r="S44"/>
      <c r="T44"/>
      <c r="U44"/>
      <c r="V44" s="5" t="s">
        <v>144</v>
      </c>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6.5" customHeight="1" hidden="1">
      <c r="A45" s="540"/>
      <c r="B45" s="538" t="s">
        <v>434</v>
      </c>
      <c r="C45" s="538"/>
      <c r="D45" s="538"/>
      <c r="E45" s="539" t="s">
        <v>435</v>
      </c>
      <c r="F45" s="330" t="s">
        <v>436</v>
      </c>
      <c r="G45" s="330"/>
      <c r="H45" s="538" t="s">
        <v>373</v>
      </c>
      <c r="I45" s="538" t="s">
        <v>447</v>
      </c>
      <c r="J45" s="538"/>
      <c r="K45" s="538"/>
      <c r="L45" s="538"/>
      <c r="M45" s="330" t="s">
        <v>279</v>
      </c>
      <c r="N45" s="330"/>
      <c r="O45" s="330"/>
      <c r="P45" s="330"/>
      <c r="Q45" s="538" t="s">
        <v>448</v>
      </c>
      <c r="R45" s="538"/>
      <c r="S45"/>
      <c r="T45"/>
      <c r="U45"/>
      <c r="V45" s="74" t="s">
        <v>113</v>
      </c>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ustomHeight="1" hidden="1">
      <c r="A46" s="540"/>
      <c r="B46" s="538"/>
      <c r="C46" s="538"/>
      <c r="D46" s="538"/>
      <c r="E46" s="539"/>
      <c r="F46" s="538" t="s">
        <v>440</v>
      </c>
      <c r="G46" s="538" t="s">
        <v>441</v>
      </c>
      <c r="H46" s="538"/>
      <c r="I46" s="538"/>
      <c r="J46" s="538"/>
      <c r="K46" s="538"/>
      <c r="L46" s="538"/>
      <c r="M46" s="330" t="s">
        <v>155</v>
      </c>
      <c r="N46" s="330"/>
      <c r="O46" s="330" t="s">
        <v>282</v>
      </c>
      <c r="P46" s="330"/>
      <c r="Q46" s="538"/>
      <c r="R46" s="538"/>
      <c r="S46"/>
      <c r="T46"/>
      <c r="U46"/>
      <c r="V46"/>
      <c r="W46" s="5"/>
      <c r="X46" s="541">
        <f>'data devices+costs'!D65</f>
        <v>0</v>
      </c>
      <c r="Y46" s="74" t="s">
        <v>442</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6.5" customHeight="1" hidden="1">
      <c r="A47" s="540"/>
      <c r="B47" s="542"/>
      <c r="C47" s="542"/>
      <c r="D47" s="542"/>
      <c r="E47" s="145"/>
      <c r="F47" s="47"/>
      <c r="G47" s="47"/>
      <c r="H47" s="309">
        <f aca="true" t="shared" si="3" ref="H47:H56">F47*G47</f>
        <v>0</v>
      </c>
      <c r="I47" s="47"/>
      <c r="J47" s="47"/>
      <c r="K47" s="47"/>
      <c r="L47" s="47"/>
      <c r="M47" s="147">
        <f aca="true" t="shared" si="4" ref="M47:M56">IF(Q$26&lt;=0,0,ROUND(G$9*Y$47*E47/Q$26,-1))</f>
        <v>0</v>
      </c>
      <c r="N47" s="147"/>
      <c r="O47" s="545">
        <f>M47*'household+building'!H$83</f>
        <v>0</v>
      </c>
      <c r="P47" s="545"/>
      <c r="Q47" s="545">
        <f aca="true" t="shared" si="5" ref="Q47:Q56">IF(I47=W$47,X$47,0)*H47</f>
        <v>0</v>
      </c>
      <c r="R47" s="545"/>
      <c r="S47"/>
      <c r="T47" s="498"/>
      <c r="U47"/>
      <c r="V47"/>
      <c r="W47" s="5">
        <f>'data devices+costs'!B66</f>
        <v>0</v>
      </c>
      <c r="X47" s="541">
        <f>'data devices+costs'!D66</f>
        <v>0</v>
      </c>
      <c r="Y47" s="546">
        <v>0.05</v>
      </c>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6.5" customHeight="1" hidden="1">
      <c r="A48" s="540"/>
      <c r="B48" s="542"/>
      <c r="C48" s="542"/>
      <c r="D48" s="542"/>
      <c r="E48" s="145"/>
      <c r="F48" s="47"/>
      <c r="G48" s="47"/>
      <c r="H48" s="309">
        <f t="shared" si="3"/>
        <v>0</v>
      </c>
      <c r="I48" s="47"/>
      <c r="J48" s="47"/>
      <c r="K48" s="47"/>
      <c r="L48" s="47"/>
      <c r="M48" s="147">
        <f t="shared" si="4"/>
        <v>0</v>
      </c>
      <c r="N48" s="147"/>
      <c r="O48" s="545">
        <f>M48*'household+building'!H$83</f>
        <v>0</v>
      </c>
      <c r="P48" s="545"/>
      <c r="Q48" s="545">
        <f t="shared" si="5"/>
        <v>0</v>
      </c>
      <c r="R48" s="545"/>
      <c r="S48"/>
      <c r="T48"/>
      <c r="U48"/>
      <c r="V48" s="5"/>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6.5" customHeight="1" hidden="1">
      <c r="A49" s="540"/>
      <c r="B49" s="542"/>
      <c r="C49" s="542"/>
      <c r="D49" s="542"/>
      <c r="E49" s="145"/>
      <c r="F49" s="47"/>
      <c r="G49" s="47"/>
      <c r="H49" s="309">
        <f t="shared" si="3"/>
        <v>0</v>
      </c>
      <c r="I49" s="47"/>
      <c r="J49" s="47"/>
      <c r="K49" s="47"/>
      <c r="L49" s="47"/>
      <c r="M49" s="147">
        <f t="shared" si="4"/>
        <v>0</v>
      </c>
      <c r="N49" s="147"/>
      <c r="O49" s="545">
        <f>M49*'household+building'!H$83</f>
        <v>0</v>
      </c>
      <c r="P49" s="545"/>
      <c r="Q49" s="545">
        <f t="shared" si="5"/>
        <v>0</v>
      </c>
      <c r="R49" s="545"/>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6.5" customHeight="1" hidden="1">
      <c r="A50" s="540"/>
      <c r="B50" s="542"/>
      <c r="C50" s="542"/>
      <c r="D50" s="542"/>
      <c r="E50" s="145"/>
      <c r="F50" s="47"/>
      <c r="G50" s="47"/>
      <c r="H50" s="309">
        <f t="shared" si="3"/>
        <v>0</v>
      </c>
      <c r="I50" s="47"/>
      <c r="J50" s="47"/>
      <c r="K50" s="47"/>
      <c r="L50" s="47"/>
      <c r="M50" s="147">
        <f t="shared" si="4"/>
        <v>0</v>
      </c>
      <c r="N50" s="147"/>
      <c r="O50" s="545">
        <f>M50*'household+building'!H$83</f>
        <v>0</v>
      </c>
      <c r="P50" s="545"/>
      <c r="Q50" s="545">
        <f t="shared" si="5"/>
        <v>0</v>
      </c>
      <c r="R50" s="545"/>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6.5" customHeight="1" hidden="1">
      <c r="A51" s="540"/>
      <c r="B51" s="542"/>
      <c r="C51" s="542"/>
      <c r="D51" s="542"/>
      <c r="E51" s="145"/>
      <c r="F51" s="47"/>
      <c r="G51" s="47"/>
      <c r="H51" s="309">
        <f t="shared" si="3"/>
        <v>0</v>
      </c>
      <c r="I51" s="47"/>
      <c r="J51" s="47"/>
      <c r="K51" s="47"/>
      <c r="L51" s="47"/>
      <c r="M51" s="147">
        <f t="shared" si="4"/>
        <v>0</v>
      </c>
      <c r="N51" s="147"/>
      <c r="O51" s="545">
        <f>M51*'household+building'!H$83</f>
        <v>0</v>
      </c>
      <c r="P51" s="545"/>
      <c r="Q51" s="545">
        <f t="shared" si="5"/>
        <v>0</v>
      </c>
      <c r="R51" s="545"/>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6.5" customHeight="1" hidden="1">
      <c r="A52" s="540"/>
      <c r="B52" s="542"/>
      <c r="C52" s="542"/>
      <c r="D52" s="542"/>
      <c r="E52" s="145"/>
      <c r="F52" s="47"/>
      <c r="G52" s="47"/>
      <c r="H52" s="309">
        <f t="shared" si="3"/>
        <v>0</v>
      </c>
      <c r="I52" s="47"/>
      <c r="J52" s="47"/>
      <c r="K52" s="47"/>
      <c r="L52" s="47"/>
      <c r="M52" s="147">
        <f t="shared" si="4"/>
        <v>0</v>
      </c>
      <c r="N52" s="147"/>
      <c r="O52" s="545">
        <f>M52*'household+building'!H$83</f>
        <v>0</v>
      </c>
      <c r="P52" s="545"/>
      <c r="Q52" s="545">
        <f t="shared" si="5"/>
        <v>0</v>
      </c>
      <c r="R52" s="545"/>
      <c r="S52"/>
      <c r="T52"/>
      <c r="U52"/>
      <c r="V52" s="5"/>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6.5" customHeight="1" hidden="1">
      <c r="A53" s="540"/>
      <c r="B53" s="542"/>
      <c r="C53" s="542"/>
      <c r="D53" s="542"/>
      <c r="E53" s="145"/>
      <c r="F53" s="47"/>
      <c r="G53" s="47"/>
      <c r="H53" s="309">
        <f t="shared" si="3"/>
        <v>0</v>
      </c>
      <c r="I53" s="47"/>
      <c r="J53" s="47"/>
      <c r="K53" s="47"/>
      <c r="L53" s="47"/>
      <c r="M53" s="147">
        <f t="shared" si="4"/>
        <v>0</v>
      </c>
      <c r="N53" s="147"/>
      <c r="O53" s="545">
        <f>M53*'household+building'!H$83</f>
        <v>0</v>
      </c>
      <c r="P53" s="545"/>
      <c r="Q53" s="545">
        <f t="shared" si="5"/>
        <v>0</v>
      </c>
      <c r="R53" s="545"/>
      <c r="S53"/>
      <c r="T53"/>
      <c r="U53"/>
      <c r="V53" s="5"/>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6.5" customHeight="1" hidden="1">
      <c r="A54" s="540"/>
      <c r="B54" s="542"/>
      <c r="C54" s="542"/>
      <c r="D54" s="542"/>
      <c r="E54" s="145"/>
      <c r="F54" s="47"/>
      <c r="G54" s="47"/>
      <c r="H54" s="309">
        <f t="shared" si="3"/>
        <v>0</v>
      </c>
      <c r="I54" s="47"/>
      <c r="J54" s="47"/>
      <c r="K54" s="47"/>
      <c r="L54" s="47"/>
      <c r="M54" s="147">
        <f t="shared" si="4"/>
        <v>0</v>
      </c>
      <c r="N54" s="147"/>
      <c r="O54" s="545">
        <f>M54*'household+building'!H$83</f>
        <v>0</v>
      </c>
      <c r="P54" s="545"/>
      <c r="Q54" s="545">
        <f t="shared" si="5"/>
        <v>0</v>
      </c>
      <c r="R54" s="545"/>
      <c r="S54"/>
      <c r="T54"/>
      <c r="U54"/>
      <c r="V54" s="5"/>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18" s="5" customFormat="1" ht="15.75" customHeight="1" hidden="1">
      <c r="A55" s="347"/>
      <c r="B55" s="542"/>
      <c r="C55" s="542"/>
      <c r="D55" s="542"/>
      <c r="E55" s="145"/>
      <c r="F55" s="47"/>
      <c r="G55" s="47"/>
      <c r="H55" s="309">
        <f t="shared" si="3"/>
        <v>0</v>
      </c>
      <c r="I55" s="47"/>
      <c r="J55" s="47"/>
      <c r="K55" s="47"/>
      <c r="L55" s="47"/>
      <c r="M55" s="147">
        <f t="shared" si="4"/>
        <v>0</v>
      </c>
      <c r="N55" s="147"/>
      <c r="O55" s="545">
        <f>M55*'household+building'!H$83</f>
        <v>0</v>
      </c>
      <c r="P55" s="545"/>
      <c r="Q55" s="545">
        <f t="shared" si="5"/>
        <v>0</v>
      </c>
      <c r="R55" s="545"/>
    </row>
    <row r="56" spans="1:18" s="5" customFormat="1" ht="17.25" customHeight="1" hidden="1">
      <c r="A56"/>
      <c r="B56" s="348"/>
      <c r="C56" s="348"/>
      <c r="D56" s="348"/>
      <c r="E56" s="145"/>
      <c r="F56" s="47"/>
      <c r="G56" s="47"/>
      <c r="H56" s="547">
        <f t="shared" si="3"/>
        <v>0</v>
      </c>
      <c r="I56" s="47"/>
      <c r="J56" s="47"/>
      <c r="K56" s="47"/>
      <c r="L56" s="47"/>
      <c r="M56" s="147">
        <f t="shared" si="4"/>
        <v>0</v>
      </c>
      <c r="N56" s="147"/>
      <c r="O56" s="545">
        <f>M56*'household+building'!H$83</f>
        <v>0</v>
      </c>
      <c r="P56" s="545"/>
      <c r="Q56" s="545">
        <f t="shared" si="5"/>
        <v>0</v>
      </c>
      <c r="R56" s="545"/>
    </row>
    <row r="57" spans="1:18" s="5" customFormat="1" ht="12.75" customHeight="1" hidden="1">
      <c r="A57"/>
      <c r="B57" s="549"/>
      <c r="C57" s="549"/>
      <c r="D57" s="549"/>
      <c r="E57" s="550">
        <f>SUM(E47:E56)</f>
        <v>0</v>
      </c>
      <c r="F57" s="44"/>
      <c r="G57"/>
      <c r="H57" s="550">
        <f>SUM(H47:H56)</f>
        <v>0</v>
      </c>
      <c r="I57" s="74" t="s">
        <v>98</v>
      </c>
      <c r="J57" s="402"/>
      <c r="K57" s="402"/>
      <c r="L57" s="347" t="s">
        <v>445</v>
      </c>
      <c r="M57" s="551">
        <f>SUM(M47:N56)</f>
        <v>0</v>
      </c>
      <c r="N57" s="551"/>
      <c r="O57" s="553">
        <f>SUM(O47:P56)</f>
        <v>0</v>
      </c>
      <c r="P57" s="553"/>
      <c r="Q57" s="553">
        <f>SUM(Q47:R56)</f>
        <v>0</v>
      </c>
      <c r="R57" s="553"/>
    </row>
    <row r="58" spans="1:18" s="5" customFormat="1" ht="12.75" hidden="1">
      <c r="A58"/>
      <c r="B58"/>
      <c r="C58"/>
      <c r="D58"/>
      <c r="E58"/>
      <c r="F58"/>
      <c r="G58"/>
      <c r="H58" s="548"/>
      <c r="I58"/>
      <c r="J58"/>
      <c r="K58"/>
      <c r="L58"/>
      <c r="M58" s="185"/>
      <c r="N58"/>
      <c r="O58"/>
      <c r="P58"/>
      <c r="Q58"/>
      <c r="R58"/>
    </row>
    <row r="59" spans="1:18" s="5" customFormat="1" ht="12.75" hidden="1">
      <c r="A59"/>
      <c r="B59" s="362" t="s">
        <v>297</v>
      </c>
      <c r="C59" s="138"/>
      <c r="D59" s="363"/>
      <c r="E59" s="364"/>
      <c r="F59" s="363"/>
      <c r="G59" s="363"/>
      <c r="H59" s="363"/>
      <c r="I59" s="363"/>
      <c r="J59" s="365"/>
      <c r="K59" s="366"/>
      <c r="L59" s="409"/>
      <c r="M59" s="409"/>
      <c r="N59" s="363"/>
      <c r="O59" s="368"/>
      <c r="P59" s="410"/>
      <c r="Q59" s="410"/>
      <c r="R59" s="363"/>
    </row>
    <row r="60" spans="1:18" s="5" customFormat="1" ht="12.75" customHeight="1" hidden="1">
      <c r="A60"/>
      <c r="B60" s="370"/>
      <c r="C60" s="370"/>
      <c r="D60" s="370"/>
      <c r="E60" s="370"/>
      <c r="F60" s="370"/>
      <c r="G60" s="370"/>
      <c r="H60" s="370"/>
      <c r="I60" s="370"/>
      <c r="J60" s="370"/>
      <c r="K60" s="370"/>
      <c r="L60" s="370"/>
      <c r="M60" s="370"/>
      <c r="N60" s="370"/>
      <c r="O60" s="370"/>
      <c r="P60" s="370"/>
      <c r="Q60" s="370"/>
      <c r="R60" s="370"/>
    </row>
    <row r="61" spans="1:18" s="5" customFormat="1" ht="13.5" customHeight="1" hidden="1">
      <c r="A61"/>
      <c r="B61" s="371"/>
      <c r="C61" s="371"/>
      <c r="D61" s="371"/>
      <c r="E61" s="371"/>
      <c r="F61" s="371"/>
      <c r="G61" s="371"/>
      <c r="H61" s="371"/>
      <c r="I61" s="371"/>
      <c r="J61" s="371"/>
      <c r="K61" s="371"/>
      <c r="L61" s="371"/>
      <c r="M61" s="371"/>
      <c r="N61" s="371"/>
      <c r="O61" s="371"/>
      <c r="P61" s="371"/>
      <c r="Q61" s="371"/>
      <c r="R61" s="371"/>
    </row>
    <row r="62" spans="1:18" s="5" customFormat="1" ht="12.75" hidden="1">
      <c r="A62"/>
      <c r="B62" s="434" t="s">
        <v>449</v>
      </c>
      <c r="C62" s="434"/>
      <c r="D62" s="434"/>
      <c r="E62" s="434"/>
      <c r="F62" s="434"/>
      <c r="G62" s="434"/>
      <c r="H62" s="434"/>
      <c r="I62" s="434"/>
      <c r="J62" s="434"/>
      <c r="K62" s="434"/>
      <c r="L62" s="434"/>
      <c r="M62" s="434"/>
      <c r="N62" s="434"/>
      <c r="O62" s="434"/>
      <c r="P62" s="434"/>
      <c r="Q62" s="434"/>
      <c r="R62" s="434"/>
    </row>
    <row r="63" spans="1:18" s="5" customFormat="1" ht="12.75" hidden="1">
      <c r="A63"/>
      <c r="B63" s="74" t="s">
        <v>450</v>
      </c>
      <c r="C63" s="74"/>
      <c r="D63" s="74"/>
      <c r="E63" s="74"/>
      <c r="F63" s="74"/>
      <c r="G63" s="74"/>
      <c r="H63" s="74"/>
      <c r="I63" s="74"/>
      <c r="J63" s="74"/>
      <c r="K63" s="74"/>
      <c r="L63" s="74"/>
      <c r="M63" s="74"/>
      <c r="N63" s="74"/>
      <c r="O63" s="74"/>
      <c r="P63" s="74"/>
      <c r="Q63" s="74"/>
      <c r="R63" s="74"/>
    </row>
    <row r="64" spans="1:18" s="5" customFormat="1" ht="12.75" hidden="1">
      <c r="A64"/>
      <c r="B64" s="74" t="s">
        <v>451</v>
      </c>
      <c r="C64" s="74"/>
      <c r="D64" s="74"/>
      <c r="E64" s="74"/>
      <c r="F64" s="74"/>
      <c r="G64" s="74"/>
      <c r="H64" s="74"/>
      <c r="I64" s="74"/>
      <c r="J64" s="74"/>
      <c r="K64" s="74"/>
      <c r="L64" s="74"/>
      <c r="M64" s="74"/>
      <c r="N64" s="74"/>
      <c r="O64" s="74"/>
      <c r="P64" s="74"/>
      <c r="Q64" s="74"/>
      <c r="R64" s="74"/>
    </row>
    <row r="65" spans="1:18" s="5" customFormat="1" ht="12.75" hidden="1">
      <c r="A65"/>
      <c r="B65" s="402"/>
      <c r="C65" s="402"/>
      <c r="D65" s="402"/>
      <c r="E65" s="402"/>
      <c r="F65" s="402"/>
      <c r="G65" s="402"/>
      <c r="H65" s="402"/>
      <c r="I65" s="402"/>
      <c r="J65" s="402"/>
      <c r="K65" s="402"/>
      <c r="L65" s="402"/>
      <c r="M65" s="402"/>
      <c r="N65" s="402"/>
      <c r="O65" s="402"/>
      <c r="P65" s="402"/>
      <c r="Q65" s="402"/>
      <c r="R65" s="402"/>
    </row>
    <row r="66" spans="1:18" s="5" customFormat="1" ht="13.5" customHeight="1" hidden="1">
      <c r="A66"/>
      <c r="B66" s="402"/>
      <c r="C66" s="402"/>
      <c r="D66" s="402"/>
      <c r="E66" s="402"/>
      <c r="F66" s="402"/>
      <c r="G66" s="402"/>
      <c r="H66" s="402"/>
      <c r="I66" s="402"/>
      <c r="J66" s="402"/>
      <c r="K66" s="402"/>
      <c r="L66" s="402"/>
      <c r="M66" s="402"/>
      <c r="N66" s="402"/>
      <c r="O66" s="402"/>
      <c r="P66" s="402"/>
      <c r="Q66" s="402"/>
      <c r="R66" s="402"/>
    </row>
    <row r="67" spans="1:18" s="5" customFormat="1" ht="12.75">
      <c r="A67"/>
      <c r="B67"/>
      <c r="C67"/>
      <c r="D67"/>
      <c r="E67"/>
      <c r="F67"/>
      <c r="G67"/>
      <c r="H67"/>
      <c r="I67"/>
      <c r="J67"/>
      <c r="K67"/>
      <c r="L67"/>
      <c r="M67"/>
      <c r="N67"/>
      <c r="O67"/>
      <c r="P67"/>
      <c r="Q67"/>
      <c r="R67"/>
    </row>
    <row r="68" spans="1:19" s="5" customFormat="1" ht="8.25" customHeight="1">
      <c r="A68" s="374"/>
      <c r="B68" s="375"/>
      <c r="C68" s="375"/>
      <c r="D68" s="375"/>
      <c r="E68" s="375"/>
      <c r="F68" s="375"/>
      <c r="G68" s="375"/>
      <c r="H68" s="375"/>
      <c r="I68" s="375"/>
      <c r="J68" s="375"/>
      <c r="K68" s="375"/>
      <c r="L68" s="375"/>
      <c r="M68" s="375"/>
      <c r="N68" s="375"/>
      <c r="O68" s="375"/>
      <c r="P68" s="375"/>
      <c r="Q68" s="375"/>
      <c r="R68" s="375"/>
      <c r="S68" s="417"/>
    </row>
    <row r="69" spans="1:22" s="5" customFormat="1" ht="5.25" customHeight="1">
      <c r="A69" s="372"/>
      <c r="B69" s="138"/>
      <c r="C69" s="138"/>
      <c r="D69" s="138"/>
      <c r="E69" s="138"/>
      <c r="F69" s="138"/>
      <c r="G69" s="138"/>
      <c r="H69" s="138"/>
      <c r="I69" s="138"/>
      <c r="J69" s="138"/>
      <c r="K69" s="138"/>
      <c r="L69" s="138"/>
      <c r="M69" s="138"/>
      <c r="N69" s="138"/>
      <c r="O69" s="138"/>
      <c r="P69" s="138"/>
      <c r="Q69" s="138"/>
      <c r="R69" s="138"/>
      <c r="S69" s="94"/>
      <c r="V69" s="74" t="s">
        <v>107</v>
      </c>
    </row>
    <row r="70" spans="1:22" s="5" customFormat="1" ht="15.75">
      <c r="A70"/>
      <c r="B70" s="535" t="s">
        <v>452</v>
      </c>
      <c r="C70"/>
      <c r="D70"/>
      <c r="E70"/>
      <c r="F70"/>
      <c r="G70"/>
      <c r="H70"/>
      <c r="I70"/>
      <c r="J70"/>
      <c r="K70"/>
      <c r="L70"/>
      <c r="M70"/>
      <c r="N70"/>
      <c r="O70"/>
      <c r="P70"/>
      <c r="Q70"/>
      <c r="R70"/>
      <c r="S70"/>
      <c r="V70" s="5" t="s">
        <v>144</v>
      </c>
    </row>
    <row r="71" spans="1:22" s="5" customFormat="1" ht="12.75">
      <c r="A71"/>
      <c r="B71"/>
      <c r="C71"/>
      <c r="D71"/>
      <c r="E71"/>
      <c r="F71"/>
      <c r="G71"/>
      <c r="H71"/>
      <c r="I71"/>
      <c r="J71"/>
      <c r="K71"/>
      <c r="L71"/>
      <c r="M71"/>
      <c r="N71"/>
      <c r="O71"/>
      <c r="P71"/>
      <c r="Q71"/>
      <c r="R71"/>
      <c r="S71"/>
      <c r="V71" s="74" t="s">
        <v>113</v>
      </c>
    </row>
    <row r="72" spans="1:25" s="5" customFormat="1" ht="14.25">
      <c r="A72"/>
      <c r="B72" s="549"/>
      <c r="C72" s="549"/>
      <c r="D72" s="549"/>
      <c r="E72" s="74"/>
      <c r="F72" s="87" t="s">
        <v>453</v>
      </c>
      <c r="G72" s="537"/>
      <c r="H72" s="537"/>
      <c r="I72" s="74"/>
      <c r="J72" s="402"/>
      <c r="K72" s="402"/>
      <c r="L72" s="402"/>
      <c r="M72" s="19"/>
      <c r="N72" s="402"/>
      <c r="O72" s="74"/>
      <c r="P72" s="74"/>
      <c r="Q72" s="64"/>
      <c r="R72" s="74"/>
      <c r="S72"/>
      <c r="V72"/>
      <c r="X72" s="541">
        <f>'data devices+costs'!D67</f>
        <v>0</v>
      </c>
      <c r="Y72" s="74" t="s">
        <v>442</v>
      </c>
    </row>
    <row r="73" spans="1:25" s="5" customFormat="1" ht="12.75">
      <c r="A73"/>
      <c r="B73" s="511" t="s">
        <v>433</v>
      </c>
      <c r="C73" s="549"/>
      <c r="D73" s="549"/>
      <c r="E73" s="74"/>
      <c r="F73" s="74"/>
      <c r="G73" s="74"/>
      <c r="H73" s="74"/>
      <c r="I73" s="74"/>
      <c r="J73" s="402"/>
      <c r="K73" s="402"/>
      <c r="L73" s="402"/>
      <c r="M73" s="402"/>
      <c r="N73" s="402"/>
      <c r="O73" s="74"/>
      <c r="P73" s="74"/>
      <c r="Q73" s="64"/>
      <c r="R73" s="74"/>
      <c r="S73"/>
      <c r="V73" s="5" t="s">
        <v>454</v>
      </c>
      <c r="W73" s="5">
        <f>'data devices+costs'!B68</f>
        <v>0</v>
      </c>
      <c r="X73" s="541">
        <f>'data devices+costs'!D68</f>
        <v>1</v>
      </c>
      <c r="Y73" s="546">
        <v>0.01</v>
      </c>
    </row>
    <row r="74" spans="1:25" s="5" customFormat="1" ht="12.75" customHeight="1">
      <c r="A74"/>
      <c r="B74" s="538" t="s">
        <v>455</v>
      </c>
      <c r="C74" s="538"/>
      <c r="D74" s="538"/>
      <c r="E74" s="538" t="s">
        <v>456</v>
      </c>
      <c r="F74" s="538"/>
      <c r="G74" s="538"/>
      <c r="H74" s="538" t="s">
        <v>457</v>
      </c>
      <c r="I74" s="330" t="s">
        <v>458</v>
      </c>
      <c r="J74" s="330"/>
      <c r="K74" s="330"/>
      <c r="L74" s="330"/>
      <c r="M74" s="330" t="s">
        <v>279</v>
      </c>
      <c r="N74" s="330"/>
      <c r="O74" s="330"/>
      <c r="P74" s="330"/>
      <c r="Q74" s="538" t="s">
        <v>280</v>
      </c>
      <c r="R74" s="538"/>
      <c r="S74"/>
      <c r="V74" s="5" t="s">
        <v>459</v>
      </c>
      <c r="W74" s="5">
        <f>'data devices+costs'!B69</f>
        <v>0</v>
      </c>
      <c r="X74" s="541">
        <f>'data devices+costs'!D69</f>
        <v>1</v>
      </c>
      <c r="Y74"/>
    </row>
    <row r="75" spans="1:25" s="5" customFormat="1" ht="12.75">
      <c r="A75"/>
      <c r="B75" s="538"/>
      <c r="C75" s="538"/>
      <c r="D75" s="538"/>
      <c r="E75" s="538"/>
      <c r="F75" s="538"/>
      <c r="G75" s="538"/>
      <c r="H75" s="538"/>
      <c r="I75" s="330"/>
      <c r="J75" s="330"/>
      <c r="K75" s="330"/>
      <c r="L75" s="330"/>
      <c r="M75" s="330" t="s">
        <v>155</v>
      </c>
      <c r="N75" s="330"/>
      <c r="O75" s="330" t="s">
        <v>282</v>
      </c>
      <c r="P75" s="330"/>
      <c r="Q75" s="538"/>
      <c r="R75" s="538"/>
      <c r="S75"/>
      <c r="T75" s="360"/>
      <c r="V75" s="5" t="s">
        <v>287</v>
      </c>
      <c r="W75" s="5">
        <f>'data devices+costs'!B70</f>
        <v>0</v>
      </c>
      <c r="X75" s="541">
        <f>'data devices+costs'!D70</f>
        <v>0</v>
      </c>
      <c r="Y75"/>
    </row>
    <row r="76" spans="1:25" s="5" customFormat="1" ht="14.25">
      <c r="A76"/>
      <c r="B76" s="542"/>
      <c r="C76" s="542"/>
      <c r="D76" s="542"/>
      <c r="E76" s="334"/>
      <c r="F76" s="334"/>
      <c r="G76" s="334"/>
      <c r="H76" s="554"/>
      <c r="I76" s="47"/>
      <c r="J76" s="47"/>
      <c r="K76" s="47"/>
      <c r="L76" s="47"/>
      <c r="M76" s="147">
        <f aca="true" t="shared" si="6" ref="M76:M80">ROUND(G$9*Y$73*H76,-1)</f>
        <v>0</v>
      </c>
      <c r="N76" s="147"/>
      <c r="O76" s="545">
        <f>M76*'household+building'!H$83</f>
        <v>0</v>
      </c>
      <c r="P76" s="545"/>
      <c r="Q76" s="545">
        <f aca="true" t="shared" si="7" ref="Q76:Q80">IF(I76=W$73,X$73,IF(I76=W$74,X$74,IF(I76=W$75,X$75,IF(I76=W$76,X$76,0))))*H76</f>
        <v>0</v>
      </c>
      <c r="R76" s="545"/>
      <c r="S76"/>
      <c r="T76"/>
      <c r="V76" s="5" t="s">
        <v>284</v>
      </c>
      <c r="W76" s="5">
        <f>'data devices+costs'!B71</f>
        <v>0</v>
      </c>
      <c r="X76" s="541">
        <f>'data devices+costs'!D71</f>
        <v>0</v>
      </c>
      <c r="Y76"/>
    </row>
    <row r="77" spans="1:25" s="5" customFormat="1" ht="14.25">
      <c r="A77"/>
      <c r="B77" s="542"/>
      <c r="C77" s="542"/>
      <c r="D77" s="542"/>
      <c r="E77" s="334"/>
      <c r="F77" s="334"/>
      <c r="G77" s="334"/>
      <c r="H77" s="554"/>
      <c r="I77" s="47"/>
      <c r="J77" s="47"/>
      <c r="K77" s="47"/>
      <c r="L77" s="47"/>
      <c r="M77" s="147">
        <f t="shared" si="6"/>
        <v>0</v>
      </c>
      <c r="N77" s="147"/>
      <c r="O77" s="545">
        <f>M77*'household+building'!H$83</f>
        <v>0</v>
      </c>
      <c r="P77" s="545"/>
      <c r="Q77" s="545">
        <f t="shared" si="7"/>
        <v>0</v>
      </c>
      <c r="R77" s="545"/>
      <c r="S77"/>
      <c r="T77"/>
      <c r="V77" s="5" t="s">
        <v>460</v>
      </c>
      <c r="W77"/>
      <c r="X77"/>
      <c r="Y77"/>
    </row>
    <row r="78" spans="1:25" s="5" customFormat="1" ht="14.25">
      <c r="A78"/>
      <c r="B78" s="542"/>
      <c r="C78" s="542"/>
      <c r="D78" s="542"/>
      <c r="E78" s="334"/>
      <c r="F78" s="334"/>
      <c r="G78" s="334"/>
      <c r="H78" s="554"/>
      <c r="I78" s="47"/>
      <c r="J78" s="47"/>
      <c r="K78" s="47"/>
      <c r="L78" s="47"/>
      <c r="M78" s="147">
        <f t="shared" si="6"/>
        <v>0</v>
      </c>
      <c r="N78" s="147"/>
      <c r="O78" s="545">
        <f>M78*'household+building'!H$83</f>
        <v>0</v>
      </c>
      <c r="P78" s="545"/>
      <c r="Q78" s="545">
        <f t="shared" si="7"/>
        <v>0</v>
      </c>
      <c r="R78" s="545"/>
      <c r="S78"/>
      <c r="T78"/>
      <c r="V78" s="5" t="s">
        <v>290</v>
      </c>
      <c r="W78"/>
      <c r="X78"/>
      <c r="Y78"/>
    </row>
    <row r="79" spans="1:25" s="5" customFormat="1" ht="12.75" hidden="1">
      <c r="A79"/>
      <c r="B79" s="542"/>
      <c r="C79" s="542"/>
      <c r="D79" s="542"/>
      <c r="E79" s="334"/>
      <c r="F79" s="334"/>
      <c r="G79" s="334"/>
      <c r="H79" s="309">
        <v>1</v>
      </c>
      <c r="I79" s="47"/>
      <c r="J79" s="47"/>
      <c r="K79" s="47"/>
      <c r="L79" s="47"/>
      <c r="M79" s="147">
        <f t="shared" si="6"/>
        <v>0</v>
      </c>
      <c r="N79" s="147"/>
      <c r="O79" s="545">
        <f>M79*'household+building'!H$83</f>
        <v>0</v>
      </c>
      <c r="P79" s="545"/>
      <c r="Q79" s="545">
        <f t="shared" si="7"/>
        <v>0</v>
      </c>
      <c r="R79" s="545"/>
      <c r="S79"/>
      <c r="T79"/>
      <c r="V79" s="5" t="s">
        <v>288</v>
      </c>
      <c r="W79"/>
      <c r="X79"/>
      <c r="Y79"/>
    </row>
    <row r="80" spans="1:25" s="5" customFormat="1" ht="12.75" hidden="1">
      <c r="A80"/>
      <c r="B80" s="542"/>
      <c r="C80" s="542"/>
      <c r="D80" s="542"/>
      <c r="E80" s="334"/>
      <c r="F80" s="334"/>
      <c r="G80" s="334"/>
      <c r="H80" s="309">
        <v>1</v>
      </c>
      <c r="I80" s="47"/>
      <c r="J80" s="47"/>
      <c r="K80" s="47"/>
      <c r="L80" s="47"/>
      <c r="M80" s="147">
        <f t="shared" si="6"/>
        <v>0</v>
      </c>
      <c r="N80" s="147"/>
      <c r="O80" s="545">
        <f>M80*'household+building'!H$83</f>
        <v>0</v>
      </c>
      <c r="P80" s="545"/>
      <c r="Q80" s="545">
        <f t="shared" si="7"/>
        <v>0</v>
      </c>
      <c r="R80" s="545"/>
      <c r="S80"/>
      <c r="T80"/>
      <c r="V80" s="5" t="s">
        <v>283</v>
      </c>
      <c r="W80"/>
      <c r="X80"/>
      <c r="Y80"/>
    </row>
    <row r="81" spans="1:25" s="5" customFormat="1" ht="12.75">
      <c r="A81"/>
      <c r="B81" s="549"/>
      <c r="C81" s="549"/>
      <c r="D81" s="549"/>
      <c r="E81" s="548"/>
      <c r="F81" s="44"/>
      <c r="G81" s="44"/>
      <c r="H81" s="550">
        <f>SUM(H76:H78)</f>
        <v>0</v>
      </c>
      <c r="I81" s="74"/>
      <c r="J81" s="402"/>
      <c r="K81" s="402"/>
      <c r="L81" s="347" t="s">
        <v>445</v>
      </c>
      <c r="M81" s="555">
        <f>SUM(M76:N80)</f>
        <v>0</v>
      </c>
      <c r="N81" s="555"/>
      <c r="O81" s="553">
        <f>SUM(O76:P80)</f>
        <v>0</v>
      </c>
      <c r="P81" s="553"/>
      <c r="Q81" s="553">
        <f>SUM(Q76:R80)</f>
        <v>0</v>
      </c>
      <c r="R81" s="553"/>
      <c r="S81"/>
      <c r="T81"/>
      <c r="V81" s="5" t="s">
        <v>281</v>
      </c>
      <c r="W81"/>
      <c r="X81"/>
      <c r="Y81"/>
    </row>
    <row r="82" spans="1:25" s="5" customFormat="1" ht="12.75">
      <c r="A82"/>
      <c r="B82"/>
      <c r="C82"/>
      <c r="D82"/>
      <c r="E82"/>
      <c r="F82"/>
      <c r="G82"/>
      <c r="H82"/>
      <c r="I82"/>
      <c r="J82"/>
      <c r="K82"/>
      <c r="L82"/>
      <c r="M82" s="185"/>
      <c r="N82"/>
      <c r="O82"/>
      <c r="P82"/>
      <c r="Q82"/>
      <c r="R82"/>
      <c r="S82"/>
      <c r="T82"/>
      <c r="V82" s="5" t="s">
        <v>285</v>
      </c>
      <c r="W82"/>
      <c r="X82"/>
      <c r="Y82"/>
    </row>
    <row r="83" spans="1:25" s="5" customFormat="1" ht="12.75" hidden="1">
      <c r="A83"/>
      <c r="B83" s="362" t="s">
        <v>297</v>
      </c>
      <c r="C83" s="138"/>
      <c r="D83" s="363"/>
      <c r="E83" s="364"/>
      <c r="F83" s="363"/>
      <c r="G83" s="363"/>
      <c r="H83" s="363"/>
      <c r="I83" s="363"/>
      <c r="J83" s="365"/>
      <c r="K83" s="366"/>
      <c r="L83" s="409"/>
      <c r="M83" s="409"/>
      <c r="N83" s="363"/>
      <c r="O83" s="368"/>
      <c r="P83" s="410"/>
      <c r="Q83" s="410"/>
      <c r="R83" s="363"/>
      <c r="S83"/>
      <c r="T83"/>
      <c r="V83" s="5" t="s">
        <v>286</v>
      </c>
      <c r="W83"/>
      <c r="X83"/>
      <c r="Y83"/>
    </row>
    <row r="84" spans="1:25" s="5" customFormat="1" ht="12.75" hidden="1">
      <c r="A84"/>
      <c r="B84" s="370"/>
      <c r="C84" s="370"/>
      <c r="D84" s="370"/>
      <c r="E84" s="370"/>
      <c r="F84" s="370"/>
      <c r="G84" s="370"/>
      <c r="H84" s="370"/>
      <c r="I84" s="370"/>
      <c r="J84" s="370"/>
      <c r="K84" s="370"/>
      <c r="L84" s="370"/>
      <c r="M84" s="370"/>
      <c r="N84" s="370"/>
      <c r="O84" s="370"/>
      <c r="P84" s="370"/>
      <c r="Q84" s="370"/>
      <c r="R84" s="370"/>
      <c r="S84"/>
      <c r="T84"/>
      <c r="V84" s="5" t="s">
        <v>292</v>
      </c>
      <c r="W84"/>
      <c r="X84"/>
      <c r="Y84"/>
    </row>
    <row r="85" spans="1:25" s="5" customFormat="1" ht="12.75" hidden="1">
      <c r="A85"/>
      <c r="B85" s="371"/>
      <c r="C85" s="371"/>
      <c r="D85" s="371"/>
      <c r="E85" s="371"/>
      <c r="F85" s="371"/>
      <c r="G85" s="371"/>
      <c r="H85" s="371"/>
      <c r="I85" s="371"/>
      <c r="J85" s="371"/>
      <c r="K85" s="371"/>
      <c r="L85" s="371"/>
      <c r="M85" s="371"/>
      <c r="N85" s="371"/>
      <c r="O85" s="371"/>
      <c r="P85" s="371"/>
      <c r="Q85" s="371"/>
      <c r="R85" s="371"/>
      <c r="S85"/>
      <c r="T85"/>
      <c r="V85" s="5" t="s">
        <v>291</v>
      </c>
      <c r="W85"/>
      <c r="X85"/>
      <c r="Y85"/>
    </row>
    <row r="86" spans="1:25" s="5" customFormat="1" ht="13.5" customHeight="1" hidden="1">
      <c r="A86"/>
      <c r="B86" s="74" t="s">
        <v>461</v>
      </c>
      <c r="C86" s="74"/>
      <c r="D86" s="74"/>
      <c r="E86" s="74"/>
      <c r="F86" s="74"/>
      <c r="G86" s="74"/>
      <c r="H86" s="74"/>
      <c r="I86" s="74"/>
      <c r="J86" s="74"/>
      <c r="K86" s="74"/>
      <c r="L86" s="74"/>
      <c r="M86" s="74"/>
      <c r="N86" s="74"/>
      <c r="O86" s="74"/>
      <c r="P86" s="74"/>
      <c r="Q86" s="74"/>
      <c r="R86" s="74"/>
      <c r="S86"/>
      <c r="T86"/>
      <c r="V86"/>
      <c r="W86"/>
      <c r="X86"/>
      <c r="Y86"/>
    </row>
    <row r="87" spans="1:25" s="5" customFormat="1" ht="12.75" customHeight="1" hidden="1">
      <c r="A87"/>
      <c r="B87" s="402"/>
      <c r="C87" s="402"/>
      <c r="D87" s="402"/>
      <c r="E87" s="402"/>
      <c r="F87" s="402"/>
      <c r="G87" s="402"/>
      <c r="H87" s="402"/>
      <c r="I87" s="402"/>
      <c r="J87" s="402"/>
      <c r="K87" s="402"/>
      <c r="L87" s="402"/>
      <c r="M87" s="402"/>
      <c r="N87" s="402"/>
      <c r="O87" s="402"/>
      <c r="P87" s="402"/>
      <c r="Q87" s="402"/>
      <c r="R87" s="402"/>
      <c r="S87"/>
      <c r="T87"/>
      <c r="V87"/>
      <c r="W87"/>
      <c r="X87"/>
      <c r="Y87"/>
    </row>
    <row r="88" spans="1:25" s="5" customFormat="1" ht="12.75" customHeight="1" hidden="1">
      <c r="A88"/>
      <c r="B88" s="402"/>
      <c r="C88" s="402"/>
      <c r="D88" s="402"/>
      <c r="E88" s="402"/>
      <c r="F88" s="402"/>
      <c r="G88" s="402"/>
      <c r="H88" s="402"/>
      <c r="I88" s="402"/>
      <c r="J88" s="402"/>
      <c r="K88" s="402"/>
      <c r="L88" s="402"/>
      <c r="M88" s="402"/>
      <c r="N88" s="402"/>
      <c r="O88" s="402"/>
      <c r="P88" s="402"/>
      <c r="Q88" s="402"/>
      <c r="R88" s="402"/>
      <c r="S88"/>
      <c r="T88"/>
      <c r="V88"/>
      <c r="W88"/>
      <c r="X88"/>
      <c r="Y88"/>
    </row>
    <row r="89" spans="1:25" s="5" customFormat="1" ht="12.75">
      <c r="A89"/>
      <c r="B89"/>
      <c r="C89"/>
      <c r="D89"/>
      <c r="E89"/>
      <c r="F89"/>
      <c r="G89"/>
      <c r="H89"/>
      <c r="I89"/>
      <c r="J89"/>
      <c r="K89"/>
      <c r="L89"/>
      <c r="M89"/>
      <c r="N89"/>
      <c r="O89"/>
      <c r="P89"/>
      <c r="Q89"/>
      <c r="R89"/>
      <c r="S89"/>
      <c r="T89"/>
      <c r="V89"/>
      <c r="W89"/>
      <c r="X89"/>
      <c r="Y89"/>
    </row>
    <row r="90" spans="1:25" s="5" customFormat="1" ht="9.75" customHeight="1">
      <c r="A90" s="374"/>
      <c r="B90" s="375"/>
      <c r="C90" s="375"/>
      <c r="D90" s="375"/>
      <c r="E90" s="375"/>
      <c r="F90" s="375"/>
      <c r="G90" s="375"/>
      <c r="H90" s="375"/>
      <c r="I90" s="375"/>
      <c r="J90" s="375"/>
      <c r="K90" s="375"/>
      <c r="L90" s="375"/>
      <c r="M90" s="375"/>
      <c r="N90" s="375"/>
      <c r="O90" s="375"/>
      <c r="P90" s="375"/>
      <c r="Q90" s="375"/>
      <c r="R90" s="375"/>
      <c r="S90" s="417"/>
      <c r="T90"/>
      <c r="V90"/>
      <c r="W90"/>
      <c r="X90"/>
      <c r="Y90"/>
    </row>
    <row r="91" spans="1:25" s="5" customFormat="1" ht="6.75" customHeight="1">
      <c r="A91" s="372"/>
      <c r="B91" s="138"/>
      <c r="C91" s="138"/>
      <c r="D91" s="138"/>
      <c r="E91" s="138"/>
      <c r="F91" s="138"/>
      <c r="G91" s="138"/>
      <c r="H91" s="138"/>
      <c r="I91" s="138"/>
      <c r="J91" s="138"/>
      <c r="K91" s="138"/>
      <c r="L91" s="138"/>
      <c r="M91" s="138"/>
      <c r="N91" s="138"/>
      <c r="O91" s="138"/>
      <c r="P91" s="138"/>
      <c r="Q91" s="138"/>
      <c r="R91" s="138"/>
      <c r="S91" s="94"/>
      <c r="T91"/>
      <c r="V91"/>
      <c r="W91"/>
      <c r="X91"/>
      <c r="Y91"/>
    </row>
    <row r="92" spans="1:25" s="5" customFormat="1" ht="15.75">
      <c r="A92"/>
      <c r="B92" s="535" t="s">
        <v>462</v>
      </c>
      <c r="C92"/>
      <c r="D92"/>
      <c r="E92"/>
      <c r="F92"/>
      <c r="G92"/>
      <c r="H92"/>
      <c r="I92"/>
      <c r="J92"/>
      <c r="K92"/>
      <c r="L92"/>
      <c r="M92"/>
      <c r="N92"/>
      <c r="O92"/>
      <c r="P92"/>
      <c r="Q92"/>
      <c r="R92"/>
      <c r="S92"/>
      <c r="T92"/>
      <c r="V92"/>
      <c r="W92"/>
      <c r="X92"/>
      <c r="Y92"/>
    </row>
    <row r="93" spans="1:25" s="5" customFormat="1" ht="14.25">
      <c r="A93"/>
      <c r="B93"/>
      <c r="C93"/>
      <c r="D93"/>
      <c r="E93"/>
      <c r="F93"/>
      <c r="G93"/>
      <c r="H93"/>
      <c r="I93"/>
      <c r="J93"/>
      <c r="K93"/>
      <c r="L93"/>
      <c r="M93"/>
      <c r="N93"/>
      <c r="O93"/>
      <c r="P93"/>
      <c r="Q93"/>
      <c r="R93"/>
      <c r="S93"/>
      <c r="T93"/>
      <c r="V93" s="74"/>
      <c r="W93"/>
      <c r="X93"/>
      <c r="Y93"/>
    </row>
    <row r="94" spans="1:25" s="5" customFormat="1" ht="14.25">
      <c r="A94"/>
      <c r="B94" s="549"/>
      <c r="C94" s="549"/>
      <c r="D94" s="549"/>
      <c r="E94" s="74"/>
      <c r="F94" s="87" t="s">
        <v>463</v>
      </c>
      <c r="G94" s="537"/>
      <c r="H94" s="537"/>
      <c r="I94" s="74"/>
      <c r="J94" s="402"/>
      <c r="K94" s="402"/>
      <c r="L94" s="1"/>
      <c r="M94" s="1"/>
      <c r="N94" s="1"/>
      <c r="O94" s="135"/>
      <c r="P94" s="192" t="s">
        <v>464</v>
      </c>
      <c r="Q94" s="556">
        <v>0</v>
      </c>
      <c r="R94" s="556"/>
      <c r="S94"/>
      <c r="T94"/>
      <c r="W94"/>
      <c r="X94"/>
      <c r="Y94"/>
    </row>
    <row r="95" spans="1:25" s="5" customFormat="1" ht="14.25">
      <c r="A95"/>
      <c r="B95" s="511" t="s">
        <v>465</v>
      </c>
      <c r="C95" s="549"/>
      <c r="D95" s="549"/>
      <c r="E95" s="74"/>
      <c r="F95" s="74"/>
      <c r="G95" s="74"/>
      <c r="H95" s="74"/>
      <c r="I95" s="74"/>
      <c r="J95" s="402"/>
      <c r="K95" s="402"/>
      <c r="L95" s="402"/>
      <c r="M95" s="402"/>
      <c r="N95" s="402"/>
      <c r="O95" s="74"/>
      <c r="P95" s="74"/>
      <c r="Q95" s="64"/>
      <c r="R95" s="74"/>
      <c r="S95"/>
      <c r="T95"/>
      <c r="V95" s="74"/>
      <c r="W95"/>
      <c r="X95"/>
      <c r="Y95"/>
    </row>
    <row r="96" spans="1:25" s="5" customFormat="1" ht="12.75" customHeight="1">
      <c r="A96"/>
      <c r="B96" s="538" t="s">
        <v>434</v>
      </c>
      <c r="C96" s="538"/>
      <c r="D96" s="538"/>
      <c r="E96" s="557" t="s">
        <v>466</v>
      </c>
      <c r="F96" s="330" t="s">
        <v>467</v>
      </c>
      <c r="G96" s="330"/>
      <c r="H96" s="538" t="s">
        <v>468</v>
      </c>
      <c r="I96" s="330" t="s">
        <v>469</v>
      </c>
      <c r="J96" s="330"/>
      <c r="K96" s="330"/>
      <c r="L96" s="330"/>
      <c r="M96" s="330" t="s">
        <v>279</v>
      </c>
      <c r="N96" s="330"/>
      <c r="O96" s="330"/>
      <c r="P96" s="330"/>
      <c r="Q96" s="538" t="s">
        <v>280</v>
      </c>
      <c r="R96" s="538"/>
      <c r="S96" s="19"/>
      <c r="T96"/>
      <c r="V96"/>
      <c r="W96"/>
      <c r="X96"/>
      <c r="Y96"/>
    </row>
    <row r="97" spans="1:25" s="5" customFormat="1" ht="18" customHeight="1">
      <c r="A97"/>
      <c r="B97" s="538"/>
      <c r="C97" s="538"/>
      <c r="D97" s="538"/>
      <c r="E97" s="557"/>
      <c r="F97" s="538" t="s">
        <v>440</v>
      </c>
      <c r="G97" s="538" t="s">
        <v>441</v>
      </c>
      <c r="H97" s="538"/>
      <c r="I97" s="330"/>
      <c r="J97" s="330"/>
      <c r="K97" s="330"/>
      <c r="L97" s="330"/>
      <c r="M97" s="330" t="s">
        <v>155</v>
      </c>
      <c r="N97" s="330"/>
      <c r="O97" s="330" t="s">
        <v>282</v>
      </c>
      <c r="P97" s="330"/>
      <c r="Q97" s="538"/>
      <c r="R97" s="538"/>
      <c r="S97"/>
      <c r="T97"/>
      <c r="V97"/>
      <c r="W97"/>
      <c r="X97" s="541">
        <f>'data devices+costs'!D72</f>
        <v>0</v>
      </c>
      <c r="Y97" s="74" t="s">
        <v>442</v>
      </c>
    </row>
    <row r="98" spans="1:25" s="5" customFormat="1" ht="14.25">
      <c r="A98"/>
      <c r="B98" s="542"/>
      <c r="C98" s="542"/>
      <c r="D98" s="542"/>
      <c r="E98" s="145"/>
      <c r="F98" s="47"/>
      <c r="G98" s="47"/>
      <c r="H98" s="309">
        <f aca="true" t="shared" si="8" ref="H98:H107">F98*G98</f>
        <v>0</v>
      </c>
      <c r="I98" s="47"/>
      <c r="J98" s="47"/>
      <c r="K98" s="47"/>
      <c r="L98" s="47"/>
      <c r="M98" s="147">
        <f aca="true" t="shared" si="9" ref="M98:M107">IF(Q$94&lt;=0,0,ROUND(G$9*Y$98*E98/Q$94,-1))</f>
        <v>0</v>
      </c>
      <c r="N98" s="147"/>
      <c r="O98" s="545">
        <f>M98*'household+building'!H$83</f>
        <v>0</v>
      </c>
      <c r="P98" s="545"/>
      <c r="Q98" s="545">
        <f aca="true" t="shared" si="10" ref="Q98:Q107">IF(I98=W$98,X$98,0)*H98</f>
        <v>0</v>
      </c>
      <c r="R98" s="545"/>
      <c r="S98"/>
      <c r="T98" s="360"/>
      <c r="V98"/>
      <c r="W98" s="5">
        <f>'data devices+costs'!B73</f>
        <v>0</v>
      </c>
      <c r="X98" s="541">
        <f>'data devices+costs'!D73</f>
        <v>1</v>
      </c>
      <c r="Y98" s="546">
        <v>0.04</v>
      </c>
    </row>
    <row r="99" spans="1:25" s="5" customFormat="1" ht="14.25">
      <c r="A99"/>
      <c r="B99" s="542"/>
      <c r="C99" s="542"/>
      <c r="D99" s="542"/>
      <c r="E99" s="145"/>
      <c r="F99" s="47"/>
      <c r="G99" s="47"/>
      <c r="H99" s="309">
        <f t="shared" si="8"/>
        <v>0</v>
      </c>
      <c r="I99" s="47"/>
      <c r="J99" s="47"/>
      <c r="K99" s="47"/>
      <c r="L99" s="47"/>
      <c r="M99" s="147">
        <f t="shared" si="9"/>
        <v>0</v>
      </c>
      <c r="N99" s="147"/>
      <c r="O99" s="545">
        <f>M99*'household+building'!H$83</f>
        <v>0</v>
      </c>
      <c r="P99" s="545"/>
      <c r="Q99" s="545">
        <f t="shared" si="10"/>
        <v>0</v>
      </c>
      <c r="R99" s="545"/>
      <c r="S99"/>
      <c r="T99"/>
      <c r="V99"/>
      <c r="W99"/>
      <c r="X99"/>
      <c r="Y99"/>
    </row>
    <row r="100" spans="1:25" s="5" customFormat="1" ht="14.25">
      <c r="A100"/>
      <c r="B100" s="542"/>
      <c r="C100" s="542"/>
      <c r="D100" s="542"/>
      <c r="E100" s="145"/>
      <c r="F100" s="47"/>
      <c r="G100" s="47"/>
      <c r="H100" s="309">
        <f t="shared" si="8"/>
        <v>0</v>
      </c>
      <c r="I100" s="47"/>
      <c r="J100" s="47"/>
      <c r="K100" s="47"/>
      <c r="L100" s="47"/>
      <c r="M100" s="147">
        <f t="shared" si="9"/>
        <v>0</v>
      </c>
      <c r="N100" s="147"/>
      <c r="O100" s="545">
        <f>M100*'household+building'!H$83</f>
        <v>0</v>
      </c>
      <c r="P100" s="545"/>
      <c r="Q100" s="545">
        <f t="shared" si="10"/>
        <v>0</v>
      </c>
      <c r="R100" s="545"/>
      <c r="S100"/>
      <c r="T100"/>
      <c r="V100"/>
      <c r="W100"/>
      <c r="X100"/>
      <c r="Y100"/>
    </row>
    <row r="101" spans="1:25" s="5" customFormat="1" ht="14.25">
      <c r="A101"/>
      <c r="B101" s="542"/>
      <c r="C101" s="542"/>
      <c r="D101" s="542"/>
      <c r="E101" s="145"/>
      <c r="F101" s="47"/>
      <c r="G101" s="47"/>
      <c r="H101" s="309">
        <f t="shared" si="8"/>
        <v>0</v>
      </c>
      <c r="I101" s="47"/>
      <c r="J101" s="47"/>
      <c r="K101" s="47"/>
      <c r="L101" s="47"/>
      <c r="M101" s="147">
        <f t="shared" si="9"/>
        <v>0</v>
      </c>
      <c r="N101" s="147"/>
      <c r="O101" s="545">
        <f>M101*'household+building'!H$83</f>
        <v>0</v>
      </c>
      <c r="P101" s="545"/>
      <c r="Q101" s="545">
        <f t="shared" si="10"/>
        <v>0</v>
      </c>
      <c r="R101" s="545"/>
      <c r="S101"/>
      <c r="T101"/>
      <c r="V101"/>
      <c r="W101"/>
      <c r="X101"/>
      <c r="Y101"/>
    </row>
    <row r="102" spans="1:25" s="5" customFormat="1" ht="14.25">
      <c r="A102"/>
      <c r="B102" s="542"/>
      <c r="C102" s="542"/>
      <c r="D102" s="542"/>
      <c r="E102" s="145"/>
      <c r="F102" s="47"/>
      <c r="G102" s="47"/>
      <c r="H102" s="309">
        <f t="shared" si="8"/>
        <v>0</v>
      </c>
      <c r="I102" s="47"/>
      <c r="J102" s="47"/>
      <c r="K102" s="47"/>
      <c r="L102" s="47"/>
      <c r="M102" s="147">
        <f t="shared" si="9"/>
        <v>0</v>
      </c>
      <c r="N102" s="147"/>
      <c r="O102" s="545">
        <f>M102*'household+building'!H$83</f>
        <v>0</v>
      </c>
      <c r="P102" s="545"/>
      <c r="Q102" s="545">
        <f t="shared" si="10"/>
        <v>0</v>
      </c>
      <c r="R102" s="545"/>
      <c r="S102"/>
      <c r="T102"/>
      <c r="V102"/>
      <c r="W102"/>
      <c r="X102"/>
      <c r="Y102"/>
    </row>
    <row r="103" spans="1:25" s="5" customFormat="1" ht="14.25" hidden="1">
      <c r="A103"/>
      <c r="B103" s="542"/>
      <c r="C103" s="542"/>
      <c r="D103" s="542"/>
      <c r="E103" s="145"/>
      <c r="F103" s="47"/>
      <c r="G103" s="47"/>
      <c r="H103" s="309">
        <f t="shared" si="8"/>
        <v>0</v>
      </c>
      <c r="I103" s="47"/>
      <c r="J103" s="47"/>
      <c r="K103" s="47"/>
      <c r="L103" s="47"/>
      <c r="M103" s="147">
        <f t="shared" si="9"/>
        <v>0</v>
      </c>
      <c r="N103" s="147"/>
      <c r="O103" s="545">
        <f>M103*'household+building'!H$83</f>
        <v>0</v>
      </c>
      <c r="P103" s="545"/>
      <c r="Q103" s="545">
        <f t="shared" si="10"/>
        <v>0</v>
      </c>
      <c r="R103" s="545"/>
      <c r="S103"/>
      <c r="T103"/>
      <c r="V103"/>
      <c r="W103"/>
      <c r="X103"/>
      <c r="Y103"/>
    </row>
    <row r="104" spans="1:25" s="5" customFormat="1" ht="14.25" hidden="1">
      <c r="A104"/>
      <c r="B104" s="542"/>
      <c r="C104" s="542"/>
      <c r="D104" s="542"/>
      <c r="E104" s="145"/>
      <c r="F104" s="47"/>
      <c r="G104" s="47"/>
      <c r="H104" s="309">
        <f t="shared" si="8"/>
        <v>0</v>
      </c>
      <c r="I104" s="47"/>
      <c r="J104" s="47"/>
      <c r="K104" s="47"/>
      <c r="L104" s="47"/>
      <c r="M104" s="147">
        <f t="shared" si="9"/>
        <v>0</v>
      </c>
      <c r="N104" s="147"/>
      <c r="O104" s="545">
        <f>M104*'household+building'!H$83</f>
        <v>0</v>
      </c>
      <c r="P104" s="545"/>
      <c r="Q104" s="545">
        <f t="shared" si="10"/>
        <v>0</v>
      </c>
      <c r="R104" s="545"/>
      <c r="S104"/>
      <c r="T104"/>
      <c r="V104"/>
      <c r="W104"/>
      <c r="X104"/>
      <c r="Y104"/>
    </row>
    <row r="105" spans="1:25" s="5" customFormat="1" ht="12.75" hidden="1">
      <c r="A105"/>
      <c r="B105" s="542"/>
      <c r="C105" s="542"/>
      <c r="D105" s="542"/>
      <c r="E105" s="145"/>
      <c r="F105" s="47"/>
      <c r="G105" s="47"/>
      <c r="H105" s="309">
        <f t="shared" si="8"/>
        <v>0</v>
      </c>
      <c r="I105" s="47"/>
      <c r="J105" s="47"/>
      <c r="K105" s="47"/>
      <c r="L105" s="47"/>
      <c r="M105" s="147">
        <f t="shared" si="9"/>
        <v>0</v>
      </c>
      <c r="N105" s="147"/>
      <c r="O105" s="545">
        <f>M105*'household+building'!H$83</f>
        <v>0</v>
      </c>
      <c r="P105" s="545"/>
      <c r="Q105" s="545">
        <f t="shared" si="10"/>
        <v>0</v>
      </c>
      <c r="R105" s="545"/>
      <c r="S105"/>
      <c r="T105"/>
      <c r="V105"/>
      <c r="W105"/>
      <c r="X105"/>
      <c r="Y105"/>
    </row>
    <row r="106" spans="1:25" s="5" customFormat="1" ht="12.75" hidden="1">
      <c r="A106"/>
      <c r="B106" s="542"/>
      <c r="C106" s="542"/>
      <c r="D106" s="542"/>
      <c r="E106" s="145"/>
      <c r="F106" s="47"/>
      <c r="G106" s="47"/>
      <c r="H106" s="309">
        <f t="shared" si="8"/>
        <v>0</v>
      </c>
      <c r="I106" s="47"/>
      <c r="J106" s="47"/>
      <c r="K106" s="47"/>
      <c r="L106" s="47"/>
      <c r="M106" s="147">
        <f t="shared" si="9"/>
        <v>0</v>
      </c>
      <c r="N106" s="147"/>
      <c r="O106" s="545">
        <f>M106*'household+building'!H$83</f>
        <v>0</v>
      </c>
      <c r="P106" s="545"/>
      <c r="Q106" s="545">
        <f t="shared" si="10"/>
        <v>0</v>
      </c>
      <c r="R106" s="545"/>
      <c r="S106"/>
      <c r="T106"/>
      <c r="V106"/>
      <c r="W106"/>
      <c r="X106"/>
      <c r="Y106"/>
    </row>
    <row r="107" spans="1:25" s="5" customFormat="1" ht="12.75" hidden="1">
      <c r="A107"/>
      <c r="B107" s="348"/>
      <c r="C107" s="348"/>
      <c r="D107" s="348"/>
      <c r="E107" s="145"/>
      <c r="F107" s="47"/>
      <c r="G107" s="47"/>
      <c r="H107" s="547">
        <f t="shared" si="8"/>
        <v>0</v>
      </c>
      <c r="I107" s="47"/>
      <c r="J107" s="47"/>
      <c r="K107" s="47"/>
      <c r="L107" s="47"/>
      <c r="M107" s="147">
        <f t="shared" si="9"/>
        <v>0</v>
      </c>
      <c r="N107" s="147"/>
      <c r="O107" s="545">
        <f>M107*'household+building'!H$83</f>
        <v>0</v>
      </c>
      <c r="P107" s="545"/>
      <c r="Q107" s="545">
        <f t="shared" si="10"/>
        <v>0</v>
      </c>
      <c r="R107" s="545"/>
      <c r="S107"/>
      <c r="T107"/>
      <c r="V107"/>
      <c r="W107"/>
      <c r="X107"/>
      <c r="Y107"/>
    </row>
    <row r="108" spans="1:25" s="5" customFormat="1" ht="12.75">
      <c r="A108"/>
      <c r="B108" s="549"/>
      <c r="C108" s="549"/>
      <c r="D108" s="549"/>
      <c r="E108" s="550">
        <f>SUM(E98:E107)</f>
        <v>0</v>
      </c>
      <c r="F108" s="44"/>
      <c r="G108" s="44"/>
      <c r="H108" s="550">
        <f>SUM(H98:H107)</f>
        <v>0</v>
      </c>
      <c r="I108" s="74" t="s">
        <v>98</v>
      </c>
      <c r="J108" s="402"/>
      <c r="K108" s="402"/>
      <c r="L108" s="347" t="s">
        <v>445</v>
      </c>
      <c r="M108" s="555">
        <f>SUM(M98:N107)</f>
        <v>0</v>
      </c>
      <c r="N108" s="555"/>
      <c r="O108" s="553">
        <f>SUM(O98:P107)</f>
        <v>0</v>
      </c>
      <c r="P108" s="553"/>
      <c r="Q108" s="553">
        <f>SUM(Q98:R107)</f>
        <v>0</v>
      </c>
      <c r="R108" s="553"/>
      <c r="S108"/>
      <c r="T108"/>
      <c r="V108"/>
      <c r="W108"/>
      <c r="X108"/>
      <c r="Y108"/>
    </row>
    <row r="109" spans="1:25" s="5" customFormat="1" ht="12.75">
      <c r="A109"/>
      <c r="B109"/>
      <c r="C109"/>
      <c r="D109"/>
      <c r="E109"/>
      <c r="F109"/>
      <c r="G109"/>
      <c r="H109"/>
      <c r="I109"/>
      <c r="J109"/>
      <c r="K109"/>
      <c r="L109"/>
      <c r="M109"/>
      <c r="N109"/>
      <c r="O109"/>
      <c r="P109"/>
      <c r="Q109"/>
      <c r="R109"/>
      <c r="S109"/>
      <c r="T109"/>
      <c r="V109"/>
      <c r="W109"/>
      <c r="X109"/>
      <c r="Y109"/>
    </row>
    <row r="110" spans="1:25" s="5" customFormat="1" ht="12.75" hidden="1">
      <c r="A110"/>
      <c r="B110"/>
      <c r="C110"/>
      <c r="D110"/>
      <c r="E110"/>
      <c r="F110"/>
      <c r="G110"/>
      <c r="H110"/>
      <c r="I110"/>
      <c r="J110"/>
      <c r="K110"/>
      <c r="L110"/>
      <c r="M110"/>
      <c r="N110"/>
      <c r="O110"/>
      <c r="P110"/>
      <c r="Q110"/>
      <c r="R110"/>
      <c r="S110"/>
      <c r="T110"/>
      <c r="V110"/>
      <c r="W110"/>
      <c r="X110"/>
      <c r="Y110"/>
    </row>
    <row r="111" spans="1:25" s="5" customFormat="1" ht="12.75" hidden="1">
      <c r="A111"/>
      <c r="B111"/>
      <c r="C111"/>
      <c r="D111"/>
      <c r="E111"/>
      <c r="F111" s="87" t="s">
        <v>470</v>
      </c>
      <c r="G111"/>
      <c r="H111"/>
      <c r="I111"/>
      <c r="J111"/>
      <c r="K111"/>
      <c r="L111"/>
      <c r="M111"/>
      <c r="N111"/>
      <c r="O111"/>
      <c r="P111"/>
      <c r="Q111"/>
      <c r="R111"/>
      <c r="S111"/>
      <c r="T111"/>
      <c r="V111"/>
      <c r="W111"/>
      <c r="X111"/>
      <c r="Y111"/>
    </row>
    <row r="112" spans="1:25" s="5" customFormat="1" ht="12.75" hidden="1">
      <c r="A112"/>
      <c r="B112"/>
      <c r="C112"/>
      <c r="D112"/>
      <c r="E112"/>
      <c r="F112" s="192" t="s">
        <v>471</v>
      </c>
      <c r="G112" s="537"/>
      <c r="H112" s="537"/>
      <c r="I112"/>
      <c r="J112"/>
      <c r="K112"/>
      <c r="L112"/>
      <c r="M112"/>
      <c r="N112"/>
      <c r="O112"/>
      <c r="P112"/>
      <c r="Q112"/>
      <c r="R112"/>
      <c r="S112"/>
      <c r="T112"/>
      <c r="V112"/>
      <c r="W112"/>
      <c r="X112"/>
      <c r="Y112"/>
    </row>
    <row r="113" spans="1:25" s="5" customFormat="1" ht="12.75" hidden="1">
      <c r="A113"/>
      <c r="B113"/>
      <c r="C113"/>
      <c r="D113"/>
      <c r="E113"/>
      <c r="F113"/>
      <c r="G113"/>
      <c r="H113"/>
      <c r="I113"/>
      <c r="J113"/>
      <c r="K113"/>
      <c r="L113"/>
      <c r="M113"/>
      <c r="N113"/>
      <c r="O113"/>
      <c r="P113"/>
      <c r="Q113"/>
      <c r="R113"/>
      <c r="S113"/>
      <c r="T113"/>
      <c r="V113"/>
      <c r="W113"/>
      <c r="X113"/>
      <c r="Y113"/>
    </row>
    <row r="114" spans="1:25" s="5" customFormat="1" ht="12.75" customHeight="1" hidden="1">
      <c r="A114"/>
      <c r="B114" s="538" t="s">
        <v>434</v>
      </c>
      <c r="C114" s="538"/>
      <c r="D114" s="538"/>
      <c r="E114" s="538" t="s">
        <v>472</v>
      </c>
      <c r="F114" s="330" t="s">
        <v>473</v>
      </c>
      <c r="G114" s="330"/>
      <c r="H114" s="538" t="s">
        <v>373</v>
      </c>
      <c r="I114" s="330" t="s">
        <v>474</v>
      </c>
      <c r="J114" s="330"/>
      <c r="K114" s="330"/>
      <c r="L114" s="330"/>
      <c r="M114" s="330" t="s">
        <v>279</v>
      </c>
      <c r="N114" s="330"/>
      <c r="O114" s="330"/>
      <c r="P114" s="330"/>
      <c r="Q114" s="538" t="s">
        <v>280</v>
      </c>
      <c r="R114" s="538"/>
      <c r="S114"/>
      <c r="T114"/>
      <c r="V114"/>
      <c r="W114"/>
      <c r="X114"/>
      <c r="Y114"/>
    </row>
    <row r="115" spans="1:25" s="5" customFormat="1" ht="28.5" customHeight="1" hidden="1">
      <c r="A115"/>
      <c r="B115" s="538"/>
      <c r="C115" s="538"/>
      <c r="D115" s="538"/>
      <c r="E115" s="538"/>
      <c r="F115" s="538" t="s">
        <v>440</v>
      </c>
      <c r="G115" s="538" t="s">
        <v>441</v>
      </c>
      <c r="H115" s="538"/>
      <c r="I115" s="330"/>
      <c r="J115" s="330"/>
      <c r="K115" s="330"/>
      <c r="L115" s="330"/>
      <c r="M115" s="330" t="s">
        <v>155</v>
      </c>
      <c r="N115" s="330"/>
      <c r="O115" s="330" t="s">
        <v>282</v>
      </c>
      <c r="P115" s="330"/>
      <c r="Q115" s="538"/>
      <c r="R115" s="538"/>
      <c r="S115"/>
      <c r="T115" s="360"/>
      <c r="V115"/>
      <c r="W115"/>
      <c r="X115"/>
      <c r="Y115"/>
    </row>
    <row r="116" spans="1:25" s="5" customFormat="1" ht="12.75" hidden="1">
      <c r="A116"/>
      <c r="B116" s="542"/>
      <c r="C116" s="542"/>
      <c r="D116" s="542"/>
      <c r="E116" s="145"/>
      <c r="F116" s="47"/>
      <c r="G116" s="47"/>
      <c r="H116" s="309">
        <f aca="true" t="shared" si="11" ref="H116:H120">F116*G116</f>
        <v>0</v>
      </c>
      <c r="I116" s="47"/>
      <c r="J116" s="47"/>
      <c r="K116" s="47"/>
      <c r="L116" s="47"/>
      <c r="M116" s="147">
        <f aca="true" t="shared" si="12" ref="M116:M120">IF(Q$94&gt;=0,0,ROUND(G$9*Y$117*E116/Q$94,-1))</f>
        <v>0</v>
      </c>
      <c r="N116" s="147"/>
      <c r="O116" s="545">
        <f>M116*'household+building'!H$83</f>
        <v>0</v>
      </c>
      <c r="P116" s="545"/>
      <c r="Q116" s="545">
        <f aca="true" t="shared" si="13" ref="Q116:Q120">IF(I116=W$117,X$117,0)*H116</f>
        <v>0</v>
      </c>
      <c r="R116" s="545"/>
      <c r="S116"/>
      <c r="T116"/>
      <c r="V116"/>
      <c r="W116"/>
      <c r="X116" s="541">
        <f>'data devices+costs'!D72</f>
        <v>0</v>
      </c>
      <c r="Y116" s="74" t="s">
        <v>442</v>
      </c>
    </row>
    <row r="117" spans="1:25" s="5" customFormat="1" ht="12.75" hidden="1">
      <c r="A117"/>
      <c r="B117" s="542"/>
      <c r="C117" s="542"/>
      <c r="D117" s="542"/>
      <c r="E117" s="145"/>
      <c r="F117" s="47"/>
      <c r="G117" s="47"/>
      <c r="H117" s="309">
        <f t="shared" si="11"/>
        <v>0</v>
      </c>
      <c r="I117" s="47"/>
      <c r="J117" s="47"/>
      <c r="K117" s="47"/>
      <c r="L117" s="47"/>
      <c r="M117" s="147">
        <f t="shared" si="12"/>
        <v>0</v>
      </c>
      <c r="N117" s="147"/>
      <c r="O117" s="545">
        <f>M117*'household+building'!H$83</f>
        <v>0</v>
      </c>
      <c r="P117" s="545"/>
      <c r="Q117" s="545">
        <f t="shared" si="13"/>
        <v>0</v>
      </c>
      <c r="R117" s="545"/>
      <c r="S117"/>
      <c r="T117"/>
      <c r="V117"/>
      <c r="W117" s="5">
        <f>'data devices+costs'!B74</f>
        <v>0</v>
      </c>
      <c r="X117" s="541">
        <f>'data devices+costs'!D74</f>
        <v>0</v>
      </c>
      <c r="Y117" s="546">
        <v>0.06</v>
      </c>
    </row>
    <row r="118" spans="1:25" s="5" customFormat="1" ht="12.75" hidden="1">
      <c r="A118"/>
      <c r="B118" s="542"/>
      <c r="C118" s="542"/>
      <c r="D118" s="542"/>
      <c r="E118" s="145"/>
      <c r="F118" s="47"/>
      <c r="G118" s="47"/>
      <c r="H118" s="309">
        <f t="shared" si="11"/>
        <v>0</v>
      </c>
      <c r="I118" s="47"/>
      <c r="J118" s="47"/>
      <c r="K118" s="47"/>
      <c r="L118" s="47"/>
      <c r="M118" s="147">
        <f t="shared" si="12"/>
        <v>0</v>
      </c>
      <c r="N118" s="147"/>
      <c r="O118" s="545">
        <f>M118*'household+building'!H$83</f>
        <v>0</v>
      </c>
      <c r="P118" s="545"/>
      <c r="Q118" s="545">
        <f t="shared" si="13"/>
        <v>0</v>
      </c>
      <c r="R118" s="545"/>
      <c r="S118"/>
      <c r="T118"/>
      <c r="V118"/>
      <c r="W118"/>
      <c r="X118"/>
      <c r="Y118"/>
    </row>
    <row r="119" spans="1:25" s="5" customFormat="1" ht="12.75" hidden="1">
      <c r="A119"/>
      <c r="B119" s="542"/>
      <c r="C119" s="542"/>
      <c r="D119" s="542"/>
      <c r="E119" s="145"/>
      <c r="F119" s="47"/>
      <c r="G119" s="47"/>
      <c r="H119" s="309">
        <f t="shared" si="11"/>
        <v>0</v>
      </c>
      <c r="I119" s="47"/>
      <c r="J119" s="47"/>
      <c r="K119" s="47"/>
      <c r="L119" s="47"/>
      <c r="M119" s="147">
        <f t="shared" si="12"/>
        <v>0</v>
      </c>
      <c r="N119" s="147"/>
      <c r="O119" s="545">
        <f>M119*'household+building'!H$83</f>
        <v>0</v>
      </c>
      <c r="P119" s="545"/>
      <c r="Q119" s="545">
        <f t="shared" si="13"/>
        <v>0</v>
      </c>
      <c r="R119" s="545"/>
      <c r="S119"/>
      <c r="T119"/>
      <c r="V119"/>
      <c r="W119"/>
      <c r="X119"/>
      <c r="Y119"/>
    </row>
    <row r="120" spans="1:25" s="5" customFormat="1" ht="12.75" hidden="1">
      <c r="A120"/>
      <c r="B120" s="542"/>
      <c r="C120" s="542"/>
      <c r="D120" s="542"/>
      <c r="E120" s="145"/>
      <c r="F120" s="47"/>
      <c r="G120" s="47"/>
      <c r="H120" s="309">
        <f t="shared" si="11"/>
        <v>0</v>
      </c>
      <c r="I120" s="47"/>
      <c r="J120" s="47"/>
      <c r="K120" s="47"/>
      <c r="L120" s="47"/>
      <c r="M120" s="147">
        <f t="shared" si="12"/>
        <v>0</v>
      </c>
      <c r="N120" s="147"/>
      <c r="O120" s="545">
        <f>M120*'household+building'!H$83</f>
        <v>0</v>
      </c>
      <c r="P120" s="545"/>
      <c r="Q120" s="545">
        <f t="shared" si="13"/>
        <v>0</v>
      </c>
      <c r="R120" s="545"/>
      <c r="S120"/>
      <c r="T120"/>
      <c r="V120"/>
      <c r="W120"/>
      <c r="X120"/>
      <c r="Y120"/>
    </row>
    <row r="121" spans="1:25" s="5" customFormat="1" ht="12.75" hidden="1">
      <c r="A121"/>
      <c r="B121" s="549"/>
      <c r="C121" s="549"/>
      <c r="D121" s="549"/>
      <c r="E121" s="558">
        <f>SUM(E116:E120)</f>
        <v>0</v>
      </c>
      <c r="F121" s="44"/>
      <c r="G121" s="44"/>
      <c r="H121" s="550">
        <f>SUM(H116:H120)</f>
        <v>0</v>
      </c>
      <c r="I121" s="74" t="s">
        <v>98</v>
      </c>
      <c r="J121" s="402"/>
      <c r="K121" s="402"/>
      <c r="L121" s="347" t="s">
        <v>445</v>
      </c>
      <c r="M121" s="555">
        <f>SUM(M116:N120)</f>
        <v>0</v>
      </c>
      <c r="N121" s="555"/>
      <c r="O121" s="553">
        <f>SUM(O116:P120)</f>
        <v>0</v>
      </c>
      <c r="P121" s="553"/>
      <c r="Q121" s="553">
        <f>SUM(Q116:R120)</f>
        <v>0</v>
      </c>
      <c r="R121" s="553"/>
      <c r="S121"/>
      <c r="T121"/>
      <c r="V121"/>
      <c r="W121"/>
      <c r="X121"/>
      <c r="Y121"/>
    </row>
    <row r="122" spans="1:25" s="5" customFormat="1" ht="12.75" hidden="1">
      <c r="A122"/>
      <c r="B122"/>
      <c r="C122"/>
      <c r="D122"/>
      <c r="E122"/>
      <c r="F122"/>
      <c r="G122"/>
      <c r="H122"/>
      <c r="I122"/>
      <c r="J122"/>
      <c r="K122"/>
      <c r="L122"/>
      <c r="M122" s="559"/>
      <c r="N122"/>
      <c r="O122"/>
      <c r="P122"/>
      <c r="Q122"/>
      <c r="R122"/>
      <c r="S122"/>
      <c r="T122"/>
      <c r="V122"/>
      <c r="W122"/>
      <c r="X122"/>
      <c r="Y122"/>
    </row>
    <row r="123" spans="1:25" s="5" customFormat="1" ht="3" customHeight="1" hidden="1">
      <c r="A123"/>
      <c r="B123"/>
      <c r="C123"/>
      <c r="D123"/>
      <c r="E123"/>
      <c r="F123"/>
      <c r="G123"/>
      <c r="H123"/>
      <c r="I123"/>
      <c r="J123"/>
      <c r="K123"/>
      <c r="L123"/>
      <c r="M123"/>
      <c r="N123"/>
      <c r="O123"/>
      <c r="P123"/>
      <c r="Q123"/>
      <c r="R123"/>
      <c r="S123"/>
      <c r="T123"/>
      <c r="V123"/>
      <c r="W123"/>
      <c r="X123"/>
      <c r="Y123"/>
    </row>
    <row r="124" spans="1:25" s="5" customFormat="1" ht="12.75" hidden="1">
      <c r="A124"/>
      <c r="B124"/>
      <c r="C124"/>
      <c r="D124"/>
      <c r="E124"/>
      <c r="F124"/>
      <c r="G124"/>
      <c r="H124"/>
      <c r="I124"/>
      <c r="J124"/>
      <c r="K124"/>
      <c r="L124"/>
      <c r="M124"/>
      <c r="N124"/>
      <c r="O124"/>
      <c r="P124"/>
      <c r="Q124"/>
      <c r="R124"/>
      <c r="S124"/>
      <c r="T124"/>
      <c r="V124"/>
      <c r="W124"/>
      <c r="X124"/>
      <c r="Y124"/>
    </row>
    <row r="125" spans="1:25" s="5" customFormat="1" ht="12.75" hidden="1">
      <c r="A125"/>
      <c r="B125" s="549"/>
      <c r="C125" s="549"/>
      <c r="D125" s="549"/>
      <c r="E125" s="74"/>
      <c r="F125" s="87" t="s">
        <v>475</v>
      </c>
      <c r="G125" s="537"/>
      <c r="H125" s="537"/>
      <c r="I125" s="74"/>
      <c r="J125" s="194" t="s">
        <v>476</v>
      </c>
      <c r="K125" s="402"/>
      <c r="L125" s="402"/>
      <c r="M125"/>
      <c r="N125" s="402"/>
      <c r="O125" s="74"/>
      <c r="P125" s="74"/>
      <c r="Q125" s="64"/>
      <c r="R125" s="74"/>
      <c r="S125"/>
      <c r="T125"/>
      <c r="V125"/>
      <c r="W125"/>
      <c r="X125"/>
      <c r="Y125"/>
    </row>
    <row r="126" spans="1:25" s="5" customFormat="1" ht="12.75" hidden="1">
      <c r="A126"/>
      <c r="B126" s="549"/>
      <c r="C126" s="549"/>
      <c r="D126" s="549"/>
      <c r="E126" s="74"/>
      <c r="F126" s="498"/>
      <c r="G126" s="74"/>
      <c r="H126" s="74"/>
      <c r="I126" s="74"/>
      <c r="J126" s="194" t="s">
        <v>477</v>
      </c>
      <c r="K126"/>
      <c r="L126" s="402"/>
      <c r="M126" s="402"/>
      <c r="N126" s="402"/>
      <c r="O126" s="74"/>
      <c r="P126" s="74"/>
      <c r="Q126" s="64"/>
      <c r="R126"/>
      <c r="S126"/>
      <c r="T126"/>
      <c r="V126" s="74" t="s">
        <v>107</v>
      </c>
      <c r="W126"/>
      <c r="X126"/>
      <c r="Y126"/>
    </row>
    <row r="127" spans="1:25" s="5" customFormat="1" ht="6" customHeight="1" hidden="1">
      <c r="A127"/>
      <c r="B127" s="549"/>
      <c r="C127" s="549"/>
      <c r="D127" s="549"/>
      <c r="E127" s="74"/>
      <c r="F127" s="74"/>
      <c r="G127" s="74"/>
      <c r="H127" s="74"/>
      <c r="I127" s="74"/>
      <c r="J127" s="402"/>
      <c r="K127"/>
      <c r="L127" s="402"/>
      <c r="M127" s="402"/>
      <c r="N127" s="402"/>
      <c r="O127" s="74"/>
      <c r="P127" s="74"/>
      <c r="Q127" s="64"/>
      <c r="R127"/>
      <c r="S127"/>
      <c r="T127"/>
      <c r="V127" s="5" t="s">
        <v>144</v>
      </c>
      <c r="W127"/>
      <c r="X127"/>
      <c r="Y127"/>
    </row>
    <row r="128" spans="1:25" s="5" customFormat="1" ht="12.75" customHeight="1" hidden="1">
      <c r="A128"/>
      <c r="B128" s="538" t="s">
        <v>434</v>
      </c>
      <c r="C128" s="538"/>
      <c r="D128" s="538"/>
      <c r="E128" s="538" t="s">
        <v>478</v>
      </c>
      <c r="F128" s="560"/>
      <c r="G128" s="560"/>
      <c r="H128" s="560"/>
      <c r="I128" s="538" t="s">
        <v>479</v>
      </c>
      <c r="J128" s="538"/>
      <c r="K128" s="538"/>
      <c r="L128" s="538"/>
      <c r="M128" s="330" t="s">
        <v>279</v>
      </c>
      <c r="N128" s="330"/>
      <c r="O128" s="330"/>
      <c r="P128" s="330"/>
      <c r="Q128" s="538" t="s">
        <v>280</v>
      </c>
      <c r="R128" s="538"/>
      <c r="S128"/>
      <c r="T128"/>
      <c r="V128" s="74" t="s">
        <v>113</v>
      </c>
      <c r="W128"/>
      <c r="X128"/>
      <c r="Y128"/>
    </row>
    <row r="129" spans="1:25" s="5" customFormat="1" ht="12.75" hidden="1">
      <c r="A129"/>
      <c r="B129" s="538"/>
      <c r="C129" s="538"/>
      <c r="D129" s="538"/>
      <c r="E129" s="538"/>
      <c r="F129" s="560"/>
      <c r="G129" s="560"/>
      <c r="H129" s="560"/>
      <c r="I129" s="538"/>
      <c r="J129" s="538"/>
      <c r="K129" s="538"/>
      <c r="L129" s="538"/>
      <c r="M129" s="330" t="s">
        <v>155</v>
      </c>
      <c r="N129" s="330"/>
      <c r="O129" s="330" t="s">
        <v>282</v>
      </c>
      <c r="P129" s="330"/>
      <c r="Q129" s="538"/>
      <c r="R129" s="538"/>
      <c r="S129" s="19"/>
      <c r="T129"/>
      <c r="V129"/>
      <c r="W129"/>
      <c r="X129"/>
      <c r="Y129"/>
    </row>
    <row r="130" spans="1:25" s="5" customFormat="1" ht="12.75" hidden="1">
      <c r="A130"/>
      <c r="B130" s="542"/>
      <c r="C130" s="542"/>
      <c r="D130" s="542"/>
      <c r="E130" s="145"/>
      <c r="F130" s="561"/>
      <c r="G130" s="561"/>
      <c r="H130" s="561"/>
      <c r="I130" s="47"/>
      <c r="J130" s="47"/>
      <c r="K130" s="47"/>
      <c r="L130" s="47"/>
      <c r="M130" s="147">
        <f aca="true" t="shared" si="14" ref="M130:M139">IF(Q$94&lt;=0,0,ROUND(G$9*Y$134*E130/Q$94,-1))</f>
        <v>0</v>
      </c>
      <c r="N130" s="147"/>
      <c r="O130" s="545">
        <f>M130*'household+building'!H$83</f>
        <v>0</v>
      </c>
      <c r="P130" s="545"/>
      <c r="Q130" s="545">
        <f aca="true" t="shared" si="15" ref="Q130:Q138">IF(I130=W$133,X$133,0)*E130</f>
        <v>0</v>
      </c>
      <c r="R130" s="545"/>
      <c r="S130"/>
      <c r="T130" s="360"/>
      <c r="V130"/>
      <c r="W130"/>
      <c r="X130"/>
      <c r="Y130"/>
    </row>
    <row r="131" spans="1:25" s="5" customFormat="1" ht="12.75" hidden="1">
      <c r="A131"/>
      <c r="B131" s="542"/>
      <c r="C131" s="542"/>
      <c r="D131" s="542"/>
      <c r="E131" s="145"/>
      <c r="F131" s="561"/>
      <c r="G131" s="561"/>
      <c r="H131" s="561"/>
      <c r="I131" s="47"/>
      <c r="J131" s="47"/>
      <c r="K131" s="47"/>
      <c r="L131" s="47"/>
      <c r="M131" s="147">
        <f t="shared" si="14"/>
        <v>0</v>
      </c>
      <c r="N131" s="147"/>
      <c r="O131" s="545">
        <f>M131*'household+building'!H$83</f>
        <v>0</v>
      </c>
      <c r="P131" s="545"/>
      <c r="Q131" s="545">
        <f t="shared" si="15"/>
        <v>0</v>
      </c>
      <c r="R131" s="545"/>
      <c r="S131"/>
      <c r="T131"/>
      <c r="V131"/>
      <c r="W131"/>
      <c r="X131"/>
      <c r="Y131"/>
    </row>
    <row r="132" spans="1:25" s="5" customFormat="1" ht="12.75" hidden="1">
      <c r="A132"/>
      <c r="B132" s="542"/>
      <c r="C132" s="542"/>
      <c r="D132" s="542"/>
      <c r="E132" s="145"/>
      <c r="F132" s="561"/>
      <c r="G132" s="561"/>
      <c r="H132" s="561"/>
      <c r="I132" s="47"/>
      <c r="J132" s="47"/>
      <c r="K132" s="47"/>
      <c r="L132" s="47"/>
      <c r="M132" s="147">
        <f t="shared" si="14"/>
        <v>0</v>
      </c>
      <c r="N132" s="147"/>
      <c r="O132" s="545">
        <f>M132*'household+building'!H$83</f>
        <v>0</v>
      </c>
      <c r="P132" s="545"/>
      <c r="Q132" s="545">
        <f t="shared" si="15"/>
        <v>0</v>
      </c>
      <c r="R132" s="545"/>
      <c r="S132"/>
      <c r="T132"/>
      <c r="V132" s="90"/>
      <c r="W132"/>
      <c r="X132"/>
      <c r="Y132"/>
    </row>
    <row r="133" spans="1:25" s="5" customFormat="1" ht="12.75" hidden="1">
      <c r="A133"/>
      <c r="B133" s="542"/>
      <c r="C133" s="542"/>
      <c r="D133" s="542"/>
      <c r="E133" s="145"/>
      <c r="F133" s="561"/>
      <c r="G133" s="561"/>
      <c r="H133" s="561"/>
      <c r="I133" s="47"/>
      <c r="J133" s="47"/>
      <c r="K133" s="47"/>
      <c r="L133" s="47"/>
      <c r="M133" s="147">
        <f t="shared" si="14"/>
        <v>0</v>
      </c>
      <c r="N133" s="147"/>
      <c r="O133" s="545">
        <f>M133*'household+building'!H$83</f>
        <v>0</v>
      </c>
      <c r="P133" s="545"/>
      <c r="Q133" s="545">
        <f t="shared" si="15"/>
        <v>0</v>
      </c>
      <c r="R133" s="545"/>
      <c r="S133"/>
      <c r="T133"/>
      <c r="V133"/>
      <c r="W133" s="5">
        <f>'data devices+costs'!B76</f>
        <v>0</v>
      </c>
      <c r="X133" s="541">
        <f>'data devices+costs'!D76</f>
        <v>0</v>
      </c>
      <c r="Y133" s="74" t="s">
        <v>442</v>
      </c>
    </row>
    <row r="134" spans="1:25" s="5" customFormat="1" ht="12.75" hidden="1">
      <c r="A134"/>
      <c r="B134" s="542"/>
      <c r="C134" s="542"/>
      <c r="D134" s="542"/>
      <c r="E134" s="145"/>
      <c r="F134" s="561"/>
      <c r="G134" s="561"/>
      <c r="H134" s="561"/>
      <c r="I134" s="47"/>
      <c r="J134" s="47"/>
      <c r="K134" s="47"/>
      <c r="L134" s="47"/>
      <c r="M134" s="147">
        <f t="shared" si="14"/>
        <v>0</v>
      </c>
      <c r="N134" s="147"/>
      <c r="O134" s="545">
        <f>M134*'household+building'!H$83</f>
        <v>0</v>
      </c>
      <c r="P134" s="545"/>
      <c r="Q134" s="545">
        <f t="shared" si="15"/>
        <v>0</v>
      </c>
      <c r="R134" s="545"/>
      <c r="S134"/>
      <c r="T134"/>
      <c r="V134"/>
      <c r="W134" s="90"/>
      <c r="X134" s="562"/>
      <c r="Y134" s="546">
        <v>0.04</v>
      </c>
    </row>
    <row r="135" spans="1:25" s="5" customFormat="1" ht="12.75" hidden="1">
      <c r="A135"/>
      <c r="B135" s="542"/>
      <c r="C135" s="542"/>
      <c r="D135" s="542"/>
      <c r="E135" s="145"/>
      <c r="F135" s="561"/>
      <c r="G135" s="561"/>
      <c r="H135" s="561"/>
      <c r="I135" s="47"/>
      <c r="J135" s="47"/>
      <c r="K135" s="47"/>
      <c r="L135" s="47"/>
      <c r="M135" s="147">
        <f t="shared" si="14"/>
        <v>0</v>
      </c>
      <c r="N135" s="147"/>
      <c r="O135" s="545">
        <f>M135*'household+building'!H$83</f>
        <v>0</v>
      </c>
      <c r="P135" s="545"/>
      <c r="Q135" s="545">
        <f t="shared" si="15"/>
        <v>0</v>
      </c>
      <c r="R135" s="545"/>
      <c r="S135"/>
      <c r="T135"/>
      <c r="V135"/>
      <c r="W135"/>
      <c r="X135"/>
      <c r="Y135"/>
    </row>
    <row r="136" spans="1:25" s="5" customFormat="1" ht="12.75" hidden="1">
      <c r="A136"/>
      <c r="B136" s="542"/>
      <c r="C136" s="542"/>
      <c r="D136" s="542"/>
      <c r="E136" s="145"/>
      <c r="F136" s="561"/>
      <c r="G136" s="561"/>
      <c r="H136" s="561"/>
      <c r="I136" s="47"/>
      <c r="J136" s="47"/>
      <c r="K136" s="47"/>
      <c r="L136" s="47"/>
      <c r="M136" s="147">
        <f t="shared" si="14"/>
        <v>0</v>
      </c>
      <c r="N136" s="147"/>
      <c r="O136" s="545">
        <f>M136*'household+building'!H$83</f>
        <v>0</v>
      </c>
      <c r="P136" s="545"/>
      <c r="Q136" s="545">
        <f t="shared" si="15"/>
        <v>0</v>
      </c>
      <c r="R136" s="545"/>
      <c r="S136"/>
      <c r="T136"/>
      <c r="V136"/>
      <c r="W136"/>
      <c r="X136"/>
      <c r="Y136"/>
    </row>
    <row r="137" spans="1:25" s="5" customFormat="1" ht="12.75" hidden="1">
      <c r="A137"/>
      <c r="B137" s="542"/>
      <c r="C137" s="542"/>
      <c r="D137" s="542"/>
      <c r="E137" s="145"/>
      <c r="F137" s="561"/>
      <c r="G137" s="561"/>
      <c r="H137" s="561"/>
      <c r="I137" s="47"/>
      <c r="J137" s="47"/>
      <c r="K137" s="47"/>
      <c r="L137" s="47"/>
      <c r="M137" s="147">
        <f t="shared" si="14"/>
        <v>0</v>
      </c>
      <c r="N137" s="147"/>
      <c r="O137" s="545">
        <f>M137*'household+building'!H$83</f>
        <v>0</v>
      </c>
      <c r="P137" s="545"/>
      <c r="Q137" s="545">
        <f t="shared" si="15"/>
        <v>0</v>
      </c>
      <c r="R137" s="545"/>
      <c r="S137"/>
      <c r="T137"/>
      <c r="V137"/>
      <c r="W137"/>
      <c r="X137"/>
      <c r="Y137"/>
    </row>
    <row r="138" spans="1:25" s="5" customFormat="1" ht="12.75" hidden="1">
      <c r="A138"/>
      <c r="B138" s="542"/>
      <c r="C138" s="542"/>
      <c r="D138" s="542"/>
      <c r="E138" s="145"/>
      <c r="F138" s="561"/>
      <c r="G138" s="561"/>
      <c r="H138" s="561"/>
      <c r="I138" s="47"/>
      <c r="J138" s="47"/>
      <c r="K138" s="47"/>
      <c r="L138" s="47"/>
      <c r="M138" s="147">
        <f t="shared" si="14"/>
        <v>0</v>
      </c>
      <c r="N138" s="147"/>
      <c r="O138" s="545">
        <f>M138*'household+building'!H$83</f>
        <v>0</v>
      </c>
      <c r="P138" s="545"/>
      <c r="Q138" s="545">
        <f t="shared" si="15"/>
        <v>0</v>
      </c>
      <c r="R138" s="545"/>
      <c r="S138"/>
      <c r="T138"/>
      <c r="V138"/>
      <c r="W138"/>
      <c r="X138"/>
      <c r="Y138"/>
    </row>
    <row r="139" spans="1:25" s="5" customFormat="1" ht="12.75" hidden="1">
      <c r="A139"/>
      <c r="B139" s="348"/>
      <c r="C139" s="348"/>
      <c r="D139" s="348"/>
      <c r="E139" s="145"/>
      <c r="F139" s="561"/>
      <c r="G139" s="561"/>
      <c r="H139" s="561"/>
      <c r="I139" s="47"/>
      <c r="J139" s="47"/>
      <c r="K139" s="47"/>
      <c r="L139" s="47"/>
      <c r="M139" s="147">
        <f t="shared" si="14"/>
        <v>0</v>
      </c>
      <c r="N139" s="147"/>
      <c r="O139" s="545">
        <f>M139*'household+building'!H$83</f>
        <v>0</v>
      </c>
      <c r="P139" s="545"/>
      <c r="Q139" s="545">
        <f>IF(I139=W$133,X$133,IF(I139=W$134,X$134,0))*E139</f>
        <v>0</v>
      </c>
      <c r="R139" s="545"/>
      <c r="S139"/>
      <c r="T139"/>
      <c r="V139"/>
      <c r="W139"/>
      <c r="X139"/>
      <c r="Y139"/>
    </row>
    <row r="140" spans="1:25" s="5" customFormat="1" ht="12.75" hidden="1">
      <c r="A140"/>
      <c r="B140" s="549"/>
      <c r="C140" s="549"/>
      <c r="D140" s="549"/>
      <c r="E140" s="550">
        <f>SUM(E130:E139)</f>
        <v>0</v>
      </c>
      <c r="F140" s="44"/>
      <c r="G140" s="44"/>
      <c r="H140"/>
      <c r="I140"/>
      <c r="J140" s="402"/>
      <c r="K140" s="402"/>
      <c r="L140" s="347" t="s">
        <v>445</v>
      </c>
      <c r="M140" s="551">
        <f>SUM(M130:N139)</f>
        <v>0</v>
      </c>
      <c r="N140" s="551"/>
      <c r="O140" s="553">
        <f>SUM(O130:P139)</f>
        <v>0</v>
      </c>
      <c r="P140" s="553"/>
      <c r="Q140" s="553">
        <f>SUM(Q130:R139)</f>
        <v>0</v>
      </c>
      <c r="R140" s="553"/>
      <c r="S140"/>
      <c r="T140"/>
      <c r="V140"/>
      <c r="W140"/>
      <c r="X140"/>
      <c r="Y140"/>
    </row>
    <row r="141" spans="1:25" s="5" customFormat="1" ht="12.75" hidden="1">
      <c r="A141"/>
      <c r="B141"/>
      <c r="C141"/>
      <c r="D141"/>
      <c r="E141"/>
      <c r="F141"/>
      <c r="G141"/>
      <c r="H141"/>
      <c r="I141"/>
      <c r="J141"/>
      <c r="K141"/>
      <c r="L141"/>
      <c r="M141"/>
      <c r="N141"/>
      <c r="O141"/>
      <c r="P141"/>
      <c r="Q141"/>
      <c r="R141"/>
      <c r="S141"/>
      <c r="T141"/>
      <c r="V141"/>
      <c r="W141"/>
      <c r="X141"/>
      <c r="Y141"/>
    </row>
    <row r="142" spans="1:25" s="5" customFormat="1" ht="12.75" hidden="1">
      <c r="A142"/>
      <c r="B142"/>
      <c r="C142"/>
      <c r="D142"/>
      <c r="E142"/>
      <c r="F142"/>
      <c r="G142"/>
      <c r="H142"/>
      <c r="I142"/>
      <c r="J142"/>
      <c r="K142"/>
      <c r="L142"/>
      <c r="M142"/>
      <c r="N142"/>
      <c r="O142"/>
      <c r="P142"/>
      <c r="Q142"/>
      <c r="R142"/>
      <c r="S142"/>
      <c r="T142"/>
      <c r="V142"/>
      <c r="W142"/>
      <c r="X142"/>
      <c r="Y142"/>
    </row>
    <row r="143" spans="1:256" ht="12.75" hidden="1">
      <c r="A143"/>
      <c r="B143"/>
      <c r="C143"/>
      <c r="D143"/>
      <c r="E143"/>
      <c r="F143" s="87" t="s">
        <v>480</v>
      </c>
      <c r="G143" s="537"/>
      <c r="H143" s="537"/>
      <c r="I143"/>
      <c r="J143"/>
      <c r="K143"/>
      <c r="L143"/>
      <c r="M143"/>
      <c r="N143"/>
      <c r="O143"/>
      <c r="P143"/>
      <c r="Q143"/>
      <c r="R143"/>
      <c r="S143"/>
      <c r="T143"/>
      <c r="U143" s="5"/>
      <c r="V143" s="5" t="s">
        <v>107</v>
      </c>
      <c r="W143" s="5" t="s">
        <v>481</v>
      </c>
      <c r="X143" s="5" t="s">
        <v>482</v>
      </c>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12.75" hidden="1">
      <c r="A144"/>
      <c r="B144"/>
      <c r="C144"/>
      <c r="D144"/>
      <c r="E144"/>
      <c r="F144"/>
      <c r="G144"/>
      <c r="H144"/>
      <c r="I144"/>
      <c r="J144"/>
      <c r="K144"/>
      <c r="L144"/>
      <c r="M144"/>
      <c r="N144"/>
      <c r="O144"/>
      <c r="P144"/>
      <c r="Q144"/>
      <c r="R144"/>
      <c r="S144"/>
      <c r="T144"/>
      <c r="U144" s="5"/>
      <c r="V144" s="74" t="s">
        <v>113</v>
      </c>
      <c r="W144" s="5" t="s">
        <v>483</v>
      </c>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9" customHeight="1" hidden="1">
      <c r="A145"/>
      <c r="B145" s="538" t="s">
        <v>434</v>
      </c>
      <c r="C145" s="538"/>
      <c r="D145" s="538"/>
      <c r="E145" s="538" t="s">
        <v>484</v>
      </c>
      <c r="F145" s="538"/>
      <c r="G145" s="538"/>
      <c r="H145" s="538" t="s">
        <v>485</v>
      </c>
      <c r="I145" s="538" t="s">
        <v>486</v>
      </c>
      <c r="J145" s="538"/>
      <c r="K145" s="538"/>
      <c r="L145" s="538"/>
      <c r="M145" s="330" t="s">
        <v>279</v>
      </c>
      <c r="N145" s="330"/>
      <c r="O145" s="330"/>
      <c r="P145" s="330"/>
      <c r="Q145" s="563" t="s">
        <v>280</v>
      </c>
      <c r="R145" s="563"/>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10.5" customHeight="1" hidden="1">
      <c r="A146"/>
      <c r="B146" s="538"/>
      <c r="C146" s="538"/>
      <c r="D146" s="538"/>
      <c r="E146" s="538"/>
      <c r="F146" s="538"/>
      <c r="G146" s="538"/>
      <c r="H146" s="538"/>
      <c r="I146" s="538"/>
      <c r="J146" s="538"/>
      <c r="K146" s="538"/>
      <c r="L146" s="538"/>
      <c r="M146" s="330" t="s">
        <v>155</v>
      </c>
      <c r="N146" s="330"/>
      <c r="O146" s="330" t="s">
        <v>282</v>
      </c>
      <c r="P146" s="330"/>
      <c r="Q146" s="563"/>
      <c r="R146" s="563"/>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11.25" customHeight="1" hidden="1">
      <c r="A147"/>
      <c r="B147" s="537"/>
      <c r="C147" s="537"/>
      <c r="D147" s="537"/>
      <c r="E147" s="564">
        <f>IF(G143=V143,X143,"-")</f>
        <v>0</v>
      </c>
      <c r="F147" s="564"/>
      <c r="G147" s="564"/>
      <c r="H147" s="145"/>
      <c r="I147" s="47"/>
      <c r="J147" s="47"/>
      <c r="K147" s="47"/>
      <c r="L147" s="47"/>
      <c r="M147" s="309" t="s">
        <v>487</v>
      </c>
      <c r="N147" s="309"/>
      <c r="O147" s="565" t="s">
        <v>487</v>
      </c>
      <c r="P147" s="565"/>
      <c r="Q147" s="566">
        <f>IF(I147=W147,X147,0)</f>
        <v>0</v>
      </c>
      <c r="R147" s="566"/>
      <c r="S147"/>
      <c r="T147"/>
      <c r="U147"/>
      <c r="V147"/>
      <c r="W147" s="5">
        <f>'data devices+costs'!B80</f>
        <v>0</v>
      </c>
      <c r="X147" s="541">
        <f>'data devices+costs'!D80</f>
        <v>0</v>
      </c>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11.25" customHeight="1" hidden="1">
      <c r="A148"/>
      <c r="B148"/>
      <c r="C148"/>
      <c r="D148"/>
      <c r="E148"/>
      <c r="F148"/>
      <c r="G148"/>
      <c r="H148"/>
      <c r="I148"/>
      <c r="J148"/>
      <c r="K148"/>
      <c r="L148"/>
      <c r="M148" s="510" t="s">
        <v>488</v>
      </c>
      <c r="N148" s="510"/>
      <c r="O148" s="510"/>
      <c r="P148" s="510"/>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11.25" customHeight="1" hidden="1">
      <c r="A149"/>
      <c r="B149"/>
      <c r="C149"/>
      <c r="D149"/>
      <c r="E149" s="74"/>
      <c r="F149" s="347"/>
      <c r="G149" s="567"/>
      <c r="H149" s="74"/>
      <c r="I149"/>
      <c r="J149"/>
      <c r="K149"/>
      <c r="L149"/>
      <c r="M149" s="350"/>
      <c r="N149" s="568"/>
      <c r="O149" s="568"/>
      <c r="P149" s="568"/>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11.25" customHeight="1" hidden="1">
      <c r="A150"/>
      <c r="B150" s="362" t="s">
        <v>297</v>
      </c>
      <c r="C150" s="138"/>
      <c r="D150" s="363"/>
      <c r="E150" s="364"/>
      <c r="F150" s="363"/>
      <c r="G150" s="363"/>
      <c r="H150" s="363"/>
      <c r="I150" s="363"/>
      <c r="J150" s="365"/>
      <c r="K150" s="366"/>
      <c r="L150" s="409"/>
      <c r="M150" s="409"/>
      <c r="N150" s="363"/>
      <c r="O150" s="368"/>
      <c r="P150" s="410"/>
      <c r="Q150" s="410"/>
      <c r="R150" s="363"/>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11.25" customHeight="1" hidden="1">
      <c r="A151"/>
      <c r="B151" s="370"/>
      <c r="C151" s="370"/>
      <c r="D151" s="370"/>
      <c r="E151" s="370"/>
      <c r="F151" s="370"/>
      <c r="G151" s="370"/>
      <c r="H151" s="370"/>
      <c r="I151" s="370"/>
      <c r="J151" s="370"/>
      <c r="K151" s="370"/>
      <c r="L151" s="370"/>
      <c r="M151" s="370"/>
      <c r="N151" s="370"/>
      <c r="O151" s="370"/>
      <c r="P151" s="370"/>
      <c r="Q151" s="370"/>
      <c r="R151" s="370"/>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11.25" customHeight="1" hidden="1">
      <c r="A152"/>
      <c r="B152" s="371"/>
      <c r="C152" s="371"/>
      <c r="D152" s="371"/>
      <c r="E152" s="371"/>
      <c r="F152" s="371"/>
      <c r="G152" s="371"/>
      <c r="H152" s="371"/>
      <c r="I152" s="371"/>
      <c r="J152" s="371"/>
      <c r="K152" s="371"/>
      <c r="L152" s="371"/>
      <c r="M152" s="371"/>
      <c r="N152" s="371"/>
      <c r="O152" s="371"/>
      <c r="P152" s="371"/>
      <c r="Q152" s="371"/>
      <c r="R152" s="371"/>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15" customHeight="1" hidden="1">
      <c r="A153"/>
      <c r="B153" s="434" t="s">
        <v>489</v>
      </c>
      <c r="C153" s="434"/>
      <c r="D153" s="434"/>
      <c r="E153" s="434"/>
      <c r="F153" s="434"/>
      <c r="G153" s="434"/>
      <c r="H153" s="434"/>
      <c r="I153" s="434"/>
      <c r="J153" s="434"/>
      <c r="K153" s="434"/>
      <c r="L153" s="434"/>
      <c r="M153" s="434"/>
      <c r="N153" s="434"/>
      <c r="O153" s="434"/>
      <c r="P153" s="434"/>
      <c r="Q153" s="434"/>
      <c r="R153" s="434"/>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12.75" customHeight="1" hidden="1">
      <c r="A154"/>
      <c r="B154" s="74" t="s">
        <v>490</v>
      </c>
      <c r="C154" s="74"/>
      <c r="D154" s="74"/>
      <c r="E154" s="74"/>
      <c r="F154" s="74"/>
      <c r="G154" s="74"/>
      <c r="H154" s="74"/>
      <c r="I154" s="74"/>
      <c r="J154" s="74"/>
      <c r="K154" s="74"/>
      <c r="L154" s="74"/>
      <c r="M154" s="74"/>
      <c r="N154" s="74"/>
      <c r="O154" s="74"/>
      <c r="P154" s="74"/>
      <c r="Q154" s="74"/>
      <c r="R154" s="7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15" customHeight="1" hidden="1">
      <c r="A155"/>
      <c r="B155" s="402"/>
      <c r="C155" s="402"/>
      <c r="D155" s="402"/>
      <c r="E155" s="402"/>
      <c r="F155" s="402"/>
      <c r="G155" s="402"/>
      <c r="H155" s="402"/>
      <c r="I155" s="402"/>
      <c r="J155" s="402"/>
      <c r="K155" s="402"/>
      <c r="L155" s="402"/>
      <c r="M155" s="402"/>
      <c r="N155" s="402"/>
      <c r="O155" s="402"/>
      <c r="P155" s="402"/>
      <c r="Q155" s="402"/>
      <c r="R155" s="402"/>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6" customHeight="1">
      <c r="A156"/>
      <c r="B156" s="373"/>
      <c r="C156"/>
      <c r="D156"/>
      <c r="E156" s="74"/>
      <c r="F156" s="347"/>
      <c r="G156" s="567"/>
      <c r="H156" s="74"/>
      <c r="I156"/>
      <c r="J156"/>
      <c r="K156" s="373"/>
      <c r="L156"/>
      <c r="M156"/>
      <c r="N156"/>
      <c r="O156" s="360"/>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7.5" customHeight="1">
      <c r="A157" s="374"/>
      <c r="B157" s="375"/>
      <c r="C157" s="375"/>
      <c r="D157" s="375"/>
      <c r="E157" s="375"/>
      <c r="F157" s="375"/>
      <c r="G157" s="375"/>
      <c r="H157" s="375"/>
      <c r="I157" s="375"/>
      <c r="J157" s="375"/>
      <c r="K157" s="375"/>
      <c r="L157" s="375"/>
      <c r="M157" s="375"/>
      <c r="N157" s="375"/>
      <c r="O157" s="375"/>
      <c r="P157" s="375"/>
      <c r="Q157" s="375"/>
      <c r="R157" s="375"/>
      <c r="S157" s="94"/>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6" customHeight="1">
      <c r="A158"/>
      <c r="B158" s="373"/>
      <c r="C158"/>
      <c r="D158"/>
      <c r="E158" s="74"/>
      <c r="F158" s="347"/>
      <c r="G158" s="567"/>
      <c r="H158" s="74"/>
      <c r="I158"/>
      <c r="J158"/>
      <c r="K158" s="373"/>
      <c r="L158"/>
      <c r="M158"/>
      <c r="N158"/>
      <c r="O158" s="360"/>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15.75" customHeight="1">
      <c r="A159"/>
      <c r="B159" s="535" t="s">
        <v>491</v>
      </c>
      <c r="C159"/>
      <c r="D159"/>
      <c r="E159" s="74"/>
      <c r="F159" s="347"/>
      <c r="G159" s="567"/>
      <c r="H159" s="74"/>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9" customHeight="1">
      <c r="A160"/>
      <c r="B160" s="535"/>
      <c r="C160"/>
      <c r="D160"/>
      <c r="E160" s="74"/>
      <c r="F160" s="347"/>
      <c r="G160" s="567"/>
      <c r="H160" s="74"/>
      <c r="I160"/>
      <c r="J160"/>
      <c r="K160"/>
      <c r="L160"/>
      <c r="M160"/>
      <c r="N160"/>
      <c r="O160"/>
      <c r="P160"/>
      <c r="Q160"/>
      <c r="R160"/>
      <c r="S160"/>
      <c r="T160"/>
      <c r="U160"/>
      <c r="V160" t="s">
        <v>107</v>
      </c>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12.75" customHeight="1">
      <c r="A161"/>
      <c r="B161" s="535"/>
      <c r="C161"/>
      <c r="D161"/>
      <c r="E161" s="192" t="s">
        <v>492</v>
      </c>
      <c r="F161" s="537"/>
      <c r="G161" s="537"/>
      <c r="H161" s="537"/>
      <c r="I161"/>
      <c r="J161"/>
      <c r="K161"/>
      <c r="L161"/>
      <c r="M161"/>
      <c r="N161"/>
      <c r="O161"/>
      <c r="P161"/>
      <c r="Q161"/>
      <c r="R161"/>
      <c r="S161"/>
      <c r="T161"/>
      <c r="U161"/>
      <c r="V161" t="s">
        <v>113</v>
      </c>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2:18" s="90" customFormat="1" ht="15.75" customHeight="1">
      <c r="B162" s="53"/>
      <c r="E162" s="569"/>
      <c r="F162" s="5"/>
      <c r="G162" s="5"/>
      <c r="H162" s="5"/>
      <c r="I162" s="5"/>
      <c r="J162" s="5"/>
      <c r="K162" s="5"/>
      <c r="L162" s="5"/>
      <c r="M162" s="5"/>
      <c r="N162" s="5"/>
      <c r="O162" s="5"/>
      <c r="P162" s="5"/>
      <c r="Q162" s="5"/>
      <c r="R162" s="5"/>
    </row>
    <row r="163" spans="2:23" s="5" customFormat="1" ht="9" customHeight="1" hidden="1">
      <c r="B163" s="538" t="s">
        <v>434</v>
      </c>
      <c r="C163" s="538"/>
      <c r="D163" s="538"/>
      <c r="E163" s="538" t="s">
        <v>484</v>
      </c>
      <c r="F163" s="538"/>
      <c r="G163" s="538"/>
      <c r="H163" s="330" t="s">
        <v>485</v>
      </c>
      <c r="I163" s="570" t="s">
        <v>493</v>
      </c>
      <c r="J163" s="570"/>
      <c r="K163" s="570"/>
      <c r="L163" s="570"/>
      <c r="M163" s="330" t="s">
        <v>279</v>
      </c>
      <c r="N163" s="330"/>
      <c r="O163" s="330"/>
      <c r="P163" s="330"/>
      <c r="Q163" s="538" t="s">
        <v>280</v>
      </c>
      <c r="R163" s="538"/>
      <c r="V163" s="5" t="s">
        <v>494</v>
      </c>
      <c r="W163" s="74" t="s">
        <v>495</v>
      </c>
    </row>
    <row r="164" spans="1:256" ht="11.25" customHeight="1" hidden="1">
      <c r="A164" s="5"/>
      <c r="B164" s="538"/>
      <c r="C164" s="538"/>
      <c r="D164" s="538"/>
      <c r="E164" s="538"/>
      <c r="F164" s="538"/>
      <c r="G164" s="538"/>
      <c r="H164" s="330"/>
      <c r="I164" s="570"/>
      <c r="J164" s="570"/>
      <c r="K164" s="570"/>
      <c r="L164" s="570"/>
      <c r="M164" s="330" t="s">
        <v>155</v>
      </c>
      <c r="N164" s="330"/>
      <c r="O164" s="330" t="s">
        <v>282</v>
      </c>
      <c r="P164" s="330"/>
      <c r="Q164" s="538"/>
      <c r="R164" s="538"/>
      <c r="S164"/>
      <c r="T164"/>
      <c r="U164"/>
      <c r="V164" s="5" t="s">
        <v>496</v>
      </c>
      <c r="W164" s="5" t="s">
        <v>497</v>
      </c>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12.75" customHeight="1" hidden="1">
      <c r="A165" s="5"/>
      <c r="B165" s="542"/>
      <c r="C165" s="542"/>
      <c r="D165" s="542"/>
      <c r="E165" s="91">
        <f>IF(F161&lt;=0,"-",F161)</f>
        <v>0</v>
      </c>
      <c r="F165" s="91"/>
      <c r="G165" s="91"/>
      <c r="H165" s="47"/>
      <c r="I165" s="47"/>
      <c r="J165" s="47"/>
      <c r="K165" s="47"/>
      <c r="L165" s="47"/>
      <c r="M165" s="309" t="s">
        <v>487</v>
      </c>
      <c r="N165" s="309"/>
      <c r="O165" s="309" t="s">
        <v>487</v>
      </c>
      <c r="P165" s="309"/>
      <c r="Q165" s="545">
        <f>IF(I165=V$167,W$167,IF(I165=V$168,W$168,0))</f>
        <v>0</v>
      </c>
      <c r="R165" s="545"/>
      <c r="S165"/>
      <c r="T165"/>
      <c r="U165"/>
      <c r="V165" s="5" t="s">
        <v>498</v>
      </c>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14.25" customHeight="1" hidden="1">
      <c r="A166" s="5"/>
      <c r="B166" s="348"/>
      <c r="C166" s="348"/>
      <c r="D166" s="348"/>
      <c r="E166" s="91">
        <f>IF(O161=W163,"mould","-")</f>
        <v>0</v>
      </c>
      <c r="F166" s="91"/>
      <c r="G166" s="91"/>
      <c r="H166" s="47"/>
      <c r="I166" s="47"/>
      <c r="J166" s="47"/>
      <c r="K166" s="47"/>
      <c r="L166" s="47"/>
      <c r="M166" s="571" t="s">
        <v>487</v>
      </c>
      <c r="N166" s="571"/>
      <c r="O166" s="571" t="s">
        <v>487</v>
      </c>
      <c r="P166" s="571"/>
      <c r="Q166" s="572">
        <f>IF(I166=V167,W167,IF(I166=V168,W168,0))</f>
        <v>0</v>
      </c>
      <c r="R166" s="572"/>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14.25" customHeight="1" hidden="1">
      <c r="A167" s="5"/>
      <c r="B167"/>
      <c r="C167"/>
      <c r="D167"/>
      <c r="E167" s="192"/>
      <c r="F167" s="94"/>
      <c r="G167" s="94"/>
      <c r="H167" s="309">
        <f>SUM(H165:H166)</f>
        <v>0</v>
      </c>
      <c r="I167"/>
      <c r="J167" s="94"/>
      <c r="K167" s="94"/>
      <c r="L167" s="347" t="s">
        <v>445</v>
      </c>
      <c r="M167" s="555" t="s">
        <v>487</v>
      </c>
      <c r="N167" s="555"/>
      <c r="O167" s="573" t="s">
        <v>487</v>
      </c>
      <c r="P167" s="573"/>
      <c r="Q167" s="553">
        <f>SUM(Q165:R166)</f>
        <v>0</v>
      </c>
      <c r="R167" s="553"/>
      <c r="S167"/>
      <c r="T167"/>
      <c r="U167"/>
      <c r="V167" s="5">
        <f>'data devices+costs'!B78</f>
        <v>0</v>
      </c>
      <c r="W167" s="541">
        <f>'data devices+costs'!D78</f>
        <v>0</v>
      </c>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11.25" customHeight="1" hidden="1">
      <c r="A168" s="5"/>
      <c r="B168"/>
      <c r="C168"/>
      <c r="D168"/>
      <c r="E168"/>
      <c r="F168" s="94"/>
      <c r="G168" s="94"/>
      <c r="H168" s="94"/>
      <c r="I168" s="138"/>
      <c r="J168" s="94"/>
      <c r="K168" s="94"/>
      <c r="L168" s="574"/>
      <c r="M168" s="350" t="s">
        <v>488</v>
      </c>
      <c r="N168" s="350"/>
      <c r="O168" s="350"/>
      <c r="P168" s="350"/>
      <c r="Q168" s="575"/>
      <c r="R168" s="575"/>
      <c r="S168"/>
      <c r="T168"/>
      <c r="U168"/>
      <c r="V168" s="5">
        <f>'data devices+costs'!B79</f>
        <v>0</v>
      </c>
      <c r="W168" s="541">
        <f>'data devices+costs'!D79</f>
        <v>0</v>
      </c>
      <c r="X168" s="541"/>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12" customHeight="1" hidden="1">
      <c r="A169" s="5"/>
      <c r="B169" s="362" t="s">
        <v>297</v>
      </c>
      <c r="C169" s="138"/>
      <c r="D169" s="363"/>
      <c r="E169" s="364"/>
      <c r="F169" s="363"/>
      <c r="G169" s="363"/>
      <c r="H169" s="363"/>
      <c r="I169" s="363"/>
      <c r="J169" s="365"/>
      <c r="K169" s="366"/>
      <c r="L169" s="94"/>
      <c r="M169" s="74"/>
      <c r="N169" s="74"/>
      <c r="O169" s="74"/>
      <c r="P169" s="74"/>
      <c r="Q169"/>
      <c r="R169" s="363"/>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12" customHeight="1" hidden="1">
      <c r="A170" s="5"/>
      <c r="B170" s="370"/>
      <c r="C170" s="370"/>
      <c r="D170" s="370"/>
      <c r="E170" s="370"/>
      <c r="F170" s="370"/>
      <c r="G170" s="370"/>
      <c r="H170" s="370"/>
      <c r="I170" s="370"/>
      <c r="J170" s="370"/>
      <c r="K170" s="370"/>
      <c r="L170" s="370"/>
      <c r="M170" s="370"/>
      <c r="N170" s="370"/>
      <c r="O170" s="370"/>
      <c r="P170" s="370"/>
      <c r="Q170" s="370"/>
      <c r="R170" s="3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12" customHeight="1" hidden="1">
      <c r="A171" s="5"/>
      <c r="B171" s="371"/>
      <c r="C171" s="371"/>
      <c r="D171" s="371"/>
      <c r="E171" s="371"/>
      <c r="F171" s="371"/>
      <c r="G171" s="371"/>
      <c r="H171" s="371"/>
      <c r="I171" s="371"/>
      <c r="J171" s="371"/>
      <c r="K171" s="371"/>
      <c r="L171" s="371"/>
      <c r="M171" s="371"/>
      <c r="N171" s="371"/>
      <c r="O171" s="371"/>
      <c r="P171" s="371"/>
      <c r="Q171" s="371"/>
      <c r="R171" s="3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12" customHeight="1" hidden="1">
      <c r="A172" s="5"/>
      <c r="B172" s="155" t="s">
        <v>499</v>
      </c>
      <c r="C172" s="155"/>
      <c r="D172" s="155"/>
      <c r="E172" s="155"/>
      <c r="F172" s="155"/>
      <c r="G172" s="155"/>
      <c r="H172" s="155"/>
      <c r="I172" s="155"/>
      <c r="J172" s="155"/>
      <c r="K172" s="155"/>
      <c r="L172" s="155"/>
      <c r="M172" s="155"/>
      <c r="N172" s="155"/>
      <c r="O172" s="155"/>
      <c r="P172" s="155"/>
      <c r="Q172" s="155"/>
      <c r="R172" s="155"/>
      <c r="S172" s="74"/>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12" customHeight="1" hidden="1">
      <c r="A173" s="5"/>
      <c r="B173" s="44" t="s">
        <v>500</v>
      </c>
      <c r="C173" s="44"/>
      <c r="D173" s="44"/>
      <c r="E173" s="44"/>
      <c r="F173" s="44"/>
      <c r="G173" s="44"/>
      <c r="H173" s="44"/>
      <c r="I173" s="44"/>
      <c r="J173" s="44"/>
      <c r="K173" s="44"/>
      <c r="L173" s="44"/>
      <c r="M173" s="44"/>
      <c r="N173" s="44"/>
      <c r="O173" s="44"/>
      <c r="P173" s="44"/>
      <c r="Q173" s="44"/>
      <c r="R173" s="44"/>
      <c r="S173" s="74"/>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14.25" customHeight="1" hidden="1">
      <c r="A174" s="5"/>
      <c r="B174" s="44" t="s">
        <v>501</v>
      </c>
      <c r="C174" s="44"/>
      <c r="D174" s="44"/>
      <c r="E174" s="44"/>
      <c r="F174" s="44"/>
      <c r="G174" s="44"/>
      <c r="H174" s="44"/>
      <c r="I174" s="44"/>
      <c r="J174" s="44"/>
      <c r="K174" s="44"/>
      <c r="L174" s="44"/>
      <c r="M174" s="44"/>
      <c r="N174" s="44"/>
      <c r="O174" s="44"/>
      <c r="P174" s="44"/>
      <c r="Q174" s="44"/>
      <c r="R174" s="44"/>
      <c r="S174" s="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12" customHeight="1" hidden="1">
      <c r="A175" s="5"/>
      <c r="B175" s="44" t="s">
        <v>502</v>
      </c>
      <c r="C175" s="44"/>
      <c r="D175" s="44"/>
      <c r="E175" s="44"/>
      <c r="F175" s="44"/>
      <c r="G175" s="44"/>
      <c r="H175" s="44"/>
      <c r="I175" s="44"/>
      <c r="J175" s="44"/>
      <c r="K175" s="44"/>
      <c r="L175" s="44"/>
      <c r="M175" s="44"/>
      <c r="N175" s="44"/>
      <c r="O175" s="44"/>
      <c r="P175" s="44"/>
      <c r="Q175" s="44"/>
      <c r="R175" s="44"/>
      <c r="S175" s="74"/>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12" customHeight="1" hidden="1">
      <c r="A176" s="5"/>
      <c r="B176" s="44"/>
      <c r="C176" s="44"/>
      <c r="D176" s="44"/>
      <c r="E176" s="44"/>
      <c r="F176" s="44"/>
      <c r="G176" s="44"/>
      <c r="H176" s="44"/>
      <c r="I176" s="44"/>
      <c r="J176" s="44"/>
      <c r="K176" s="44"/>
      <c r="L176" s="44"/>
      <c r="M176" s="44"/>
      <c r="N176" s="44"/>
      <c r="O176" s="44"/>
      <c r="P176" s="44"/>
      <c r="Q176" s="44"/>
      <c r="R176" s="44"/>
      <c r="S176" s="74"/>
      <c r="T176"/>
      <c r="U176"/>
      <c r="V176" s="5" t="s">
        <v>107</v>
      </c>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6.75" customHeight="1" hidden="1">
      <c r="A177" s="59"/>
      <c r="B177"/>
      <c r="C177" s="74"/>
      <c r="D177" s="74"/>
      <c r="E177" s="74"/>
      <c r="F177" s="74"/>
      <c r="G177" s="74"/>
      <c r="H177" s="74"/>
      <c r="I177" s="74"/>
      <c r="J177" s="74"/>
      <c r="K177" s="74"/>
      <c r="L177" s="74"/>
      <c r="M177" s="74"/>
      <c r="N177" s="74"/>
      <c r="O177" s="74"/>
      <c r="P177"/>
      <c r="Q177"/>
      <c r="R177"/>
      <c r="S177"/>
      <c r="T177"/>
      <c r="U177"/>
      <c r="V177" s="5" t="s">
        <v>113</v>
      </c>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13.5" customHeight="1" hidden="1">
      <c r="A178" s="59"/>
      <c r="B178"/>
      <c r="C178" s="74"/>
      <c r="D178" s="74"/>
      <c r="E178"/>
      <c r="F178" s="192" t="s">
        <v>503</v>
      </c>
      <c r="G178" s="537"/>
      <c r="H178" s="537"/>
      <c r="I178" s="74"/>
      <c r="J178" s="74"/>
      <c r="K178" s="74"/>
      <c r="L178" s="74"/>
      <c r="M178" s="74"/>
      <c r="N178" s="74"/>
      <c r="O178" s="74"/>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ht="15.75" customHeight="1"/>
  </sheetData>
  <sheetProtection selectLockedCells="1" selectUnlockedCells="1"/>
  <mergeCells count="423">
    <mergeCell ref="P3:Q3"/>
    <mergeCell ref="G6:I6"/>
    <mergeCell ref="P6:Q6"/>
    <mergeCell ref="G7:I7"/>
    <mergeCell ref="P7:Q7"/>
    <mergeCell ref="G8:I8"/>
    <mergeCell ref="P8:Q8"/>
    <mergeCell ref="G9:H9"/>
    <mergeCell ref="M9:Q9"/>
    <mergeCell ref="G10:I10"/>
    <mergeCell ref="M10:Q10"/>
    <mergeCell ref="L16:Q16"/>
    <mergeCell ref="L17:Q17"/>
    <mergeCell ref="L18:Q18"/>
    <mergeCell ref="L19:Q19"/>
    <mergeCell ref="L20:Q20"/>
    <mergeCell ref="G26:H26"/>
    <mergeCell ref="Q26:R26"/>
    <mergeCell ref="B28:D29"/>
    <mergeCell ref="E28:E29"/>
    <mergeCell ref="F28:G28"/>
    <mergeCell ref="H28:H29"/>
    <mergeCell ref="I28:L29"/>
    <mergeCell ref="M28:P28"/>
    <mergeCell ref="Q28:R29"/>
    <mergeCell ref="M29:N29"/>
    <mergeCell ref="O29:P29"/>
    <mergeCell ref="B30:D30"/>
    <mergeCell ref="I30:L30"/>
    <mergeCell ref="M30:N30"/>
    <mergeCell ref="O30:P30"/>
    <mergeCell ref="Q30:R30"/>
    <mergeCell ref="B31:D31"/>
    <mergeCell ref="I31:L31"/>
    <mergeCell ref="M31:N31"/>
    <mergeCell ref="O31:P31"/>
    <mergeCell ref="Q31:R31"/>
    <mergeCell ref="B32:D32"/>
    <mergeCell ref="I32:L32"/>
    <mergeCell ref="M32:N32"/>
    <mergeCell ref="O32:P32"/>
    <mergeCell ref="Q32:R32"/>
    <mergeCell ref="B33:D33"/>
    <mergeCell ref="I33:L33"/>
    <mergeCell ref="M33:N33"/>
    <mergeCell ref="O33:P33"/>
    <mergeCell ref="Q33:R33"/>
    <mergeCell ref="B34:D34"/>
    <mergeCell ref="I34:L34"/>
    <mergeCell ref="M34:N34"/>
    <mergeCell ref="O34:P34"/>
    <mergeCell ref="Q34:R34"/>
    <mergeCell ref="B35:D35"/>
    <mergeCell ref="I35:L35"/>
    <mergeCell ref="M35:N35"/>
    <mergeCell ref="O35:P35"/>
    <mergeCell ref="Q35:R35"/>
    <mergeCell ref="B36:D36"/>
    <mergeCell ref="I36:L36"/>
    <mergeCell ref="M36:N36"/>
    <mergeCell ref="O36:P36"/>
    <mergeCell ref="Q36:R36"/>
    <mergeCell ref="B37:D37"/>
    <mergeCell ref="I37:L37"/>
    <mergeCell ref="M37:N37"/>
    <mergeCell ref="O37:P37"/>
    <mergeCell ref="Q37:R37"/>
    <mergeCell ref="B38:D38"/>
    <mergeCell ref="I38:L38"/>
    <mergeCell ref="M38:N38"/>
    <mergeCell ref="O38:P38"/>
    <mergeCell ref="Q38:R38"/>
    <mergeCell ref="B39:D39"/>
    <mergeCell ref="I39:L39"/>
    <mergeCell ref="M39:N39"/>
    <mergeCell ref="O39:P39"/>
    <mergeCell ref="Q39:R39"/>
    <mergeCell ref="M40:N40"/>
    <mergeCell ref="O40:P40"/>
    <mergeCell ref="Q40:R40"/>
    <mergeCell ref="G43:H43"/>
    <mergeCell ref="P43:R43"/>
    <mergeCell ref="B45:D46"/>
    <mergeCell ref="E45:E46"/>
    <mergeCell ref="F45:G45"/>
    <mergeCell ref="H45:H46"/>
    <mergeCell ref="I45:L46"/>
    <mergeCell ref="M45:P45"/>
    <mergeCell ref="Q45:R46"/>
    <mergeCell ref="M46:N46"/>
    <mergeCell ref="O46:P46"/>
    <mergeCell ref="B47:D47"/>
    <mergeCell ref="I47:L47"/>
    <mergeCell ref="M47:N47"/>
    <mergeCell ref="O47:P47"/>
    <mergeCell ref="Q47:R47"/>
    <mergeCell ref="B48:D48"/>
    <mergeCell ref="I48:L48"/>
    <mergeCell ref="M48:N48"/>
    <mergeCell ref="O48:P48"/>
    <mergeCell ref="Q48:R48"/>
    <mergeCell ref="B49:D49"/>
    <mergeCell ref="I49:L49"/>
    <mergeCell ref="M49:N49"/>
    <mergeCell ref="O49:P49"/>
    <mergeCell ref="Q49:R49"/>
    <mergeCell ref="B50:D50"/>
    <mergeCell ref="I50:L50"/>
    <mergeCell ref="M50:N50"/>
    <mergeCell ref="O50:P50"/>
    <mergeCell ref="Q50:R50"/>
    <mergeCell ref="B51:D51"/>
    <mergeCell ref="I51:L51"/>
    <mergeCell ref="M51:N51"/>
    <mergeCell ref="O51:P51"/>
    <mergeCell ref="Q51:R51"/>
    <mergeCell ref="B52:D52"/>
    <mergeCell ref="I52:L52"/>
    <mergeCell ref="M52:N52"/>
    <mergeCell ref="O52:P52"/>
    <mergeCell ref="Q52:R52"/>
    <mergeCell ref="B53:D53"/>
    <mergeCell ref="I53:L53"/>
    <mergeCell ref="M53:N53"/>
    <mergeCell ref="O53:P53"/>
    <mergeCell ref="Q53:R53"/>
    <mergeCell ref="B54:D54"/>
    <mergeCell ref="I54:L54"/>
    <mergeCell ref="M54:N54"/>
    <mergeCell ref="O54:P54"/>
    <mergeCell ref="Q54:R54"/>
    <mergeCell ref="B55:D55"/>
    <mergeCell ref="I55:L55"/>
    <mergeCell ref="M55:N55"/>
    <mergeCell ref="O55:P55"/>
    <mergeCell ref="Q55:R55"/>
    <mergeCell ref="B56:D56"/>
    <mergeCell ref="I56:L56"/>
    <mergeCell ref="M56:N56"/>
    <mergeCell ref="O56:P56"/>
    <mergeCell ref="Q56:R56"/>
    <mergeCell ref="M57:N57"/>
    <mergeCell ref="O57:P57"/>
    <mergeCell ref="Q57:R57"/>
    <mergeCell ref="L59:M59"/>
    <mergeCell ref="P59:Q59"/>
    <mergeCell ref="B60:R60"/>
    <mergeCell ref="B61:R61"/>
    <mergeCell ref="B62:R62"/>
    <mergeCell ref="B63:R63"/>
    <mergeCell ref="B64:R64"/>
    <mergeCell ref="B65:R65"/>
    <mergeCell ref="B66:R66"/>
    <mergeCell ref="G72:H72"/>
    <mergeCell ref="B74:D75"/>
    <mergeCell ref="E74:G75"/>
    <mergeCell ref="H74:H75"/>
    <mergeCell ref="I74:L75"/>
    <mergeCell ref="M74:P74"/>
    <mergeCell ref="Q74:R75"/>
    <mergeCell ref="M75:N75"/>
    <mergeCell ref="O75:P75"/>
    <mergeCell ref="B76:D76"/>
    <mergeCell ref="E76:G76"/>
    <mergeCell ref="I76:L76"/>
    <mergeCell ref="M76:N76"/>
    <mergeCell ref="O76:P76"/>
    <mergeCell ref="Q76:R76"/>
    <mergeCell ref="B77:D77"/>
    <mergeCell ref="E77:G77"/>
    <mergeCell ref="I77:L77"/>
    <mergeCell ref="M77:N77"/>
    <mergeCell ref="O77:P77"/>
    <mergeCell ref="Q77:R77"/>
    <mergeCell ref="B78:D78"/>
    <mergeCell ref="E78:G78"/>
    <mergeCell ref="I78:L78"/>
    <mergeCell ref="M78:N78"/>
    <mergeCell ref="O78:P78"/>
    <mergeCell ref="Q78:R78"/>
    <mergeCell ref="B79:D79"/>
    <mergeCell ref="E79:G79"/>
    <mergeCell ref="I79:L79"/>
    <mergeCell ref="M79:N79"/>
    <mergeCell ref="O79:P79"/>
    <mergeCell ref="Q79:R79"/>
    <mergeCell ref="B80:D80"/>
    <mergeCell ref="E80:G80"/>
    <mergeCell ref="I80:L80"/>
    <mergeCell ref="M80:N80"/>
    <mergeCell ref="O80:P80"/>
    <mergeCell ref="Q80:R80"/>
    <mergeCell ref="M81:N81"/>
    <mergeCell ref="O81:P81"/>
    <mergeCell ref="Q81:R81"/>
    <mergeCell ref="L83:M83"/>
    <mergeCell ref="P83:Q83"/>
    <mergeCell ref="B84:R84"/>
    <mergeCell ref="B85:R85"/>
    <mergeCell ref="B86:R86"/>
    <mergeCell ref="B87:R87"/>
    <mergeCell ref="B88:R88"/>
    <mergeCell ref="G94:H94"/>
    <mergeCell ref="Q94:R94"/>
    <mergeCell ref="B96:D97"/>
    <mergeCell ref="E96:E97"/>
    <mergeCell ref="F96:G96"/>
    <mergeCell ref="H96:H97"/>
    <mergeCell ref="I96:L97"/>
    <mergeCell ref="M96:P96"/>
    <mergeCell ref="Q96:R97"/>
    <mergeCell ref="M97:N97"/>
    <mergeCell ref="O97:P97"/>
    <mergeCell ref="B98:D98"/>
    <mergeCell ref="I98:L98"/>
    <mergeCell ref="M98:N98"/>
    <mergeCell ref="O98:P98"/>
    <mergeCell ref="Q98:R98"/>
    <mergeCell ref="B99:D99"/>
    <mergeCell ref="I99:L99"/>
    <mergeCell ref="M99:N99"/>
    <mergeCell ref="O99:P99"/>
    <mergeCell ref="Q99:R99"/>
    <mergeCell ref="B100:D100"/>
    <mergeCell ref="I100:L100"/>
    <mergeCell ref="M100:N100"/>
    <mergeCell ref="O100:P100"/>
    <mergeCell ref="Q100:R100"/>
    <mergeCell ref="B101:D101"/>
    <mergeCell ref="I101:L101"/>
    <mergeCell ref="M101:N101"/>
    <mergeCell ref="O101:P101"/>
    <mergeCell ref="Q101:R101"/>
    <mergeCell ref="B102:D102"/>
    <mergeCell ref="I102:L102"/>
    <mergeCell ref="M102:N102"/>
    <mergeCell ref="O102:P102"/>
    <mergeCell ref="Q102:R102"/>
    <mergeCell ref="B103:D103"/>
    <mergeCell ref="I103:L103"/>
    <mergeCell ref="M103:N103"/>
    <mergeCell ref="O103:P103"/>
    <mergeCell ref="Q103:R103"/>
    <mergeCell ref="B104:D104"/>
    <mergeCell ref="I104:L104"/>
    <mergeCell ref="M104:N104"/>
    <mergeCell ref="O104:P104"/>
    <mergeCell ref="Q104:R104"/>
    <mergeCell ref="B105:D105"/>
    <mergeCell ref="I105:L105"/>
    <mergeCell ref="M105:N105"/>
    <mergeCell ref="O105:P105"/>
    <mergeCell ref="Q105:R105"/>
    <mergeCell ref="B106:D106"/>
    <mergeCell ref="I106:L106"/>
    <mergeCell ref="M106:N106"/>
    <mergeCell ref="O106:P106"/>
    <mergeCell ref="Q106:R106"/>
    <mergeCell ref="B107:D107"/>
    <mergeCell ref="I107:L107"/>
    <mergeCell ref="M107:N107"/>
    <mergeCell ref="O107:P107"/>
    <mergeCell ref="Q107:R107"/>
    <mergeCell ref="M108:N108"/>
    <mergeCell ref="O108:P108"/>
    <mergeCell ref="Q108:R108"/>
    <mergeCell ref="G112:H112"/>
    <mergeCell ref="B114:D115"/>
    <mergeCell ref="E114:E115"/>
    <mergeCell ref="F114:G114"/>
    <mergeCell ref="H114:H115"/>
    <mergeCell ref="I114:L115"/>
    <mergeCell ref="M114:P114"/>
    <mergeCell ref="Q114:R115"/>
    <mergeCell ref="M115:N115"/>
    <mergeCell ref="O115:P115"/>
    <mergeCell ref="B116:D116"/>
    <mergeCell ref="I116:L116"/>
    <mergeCell ref="M116:N116"/>
    <mergeCell ref="O116:P116"/>
    <mergeCell ref="Q116:R116"/>
    <mergeCell ref="B117:D117"/>
    <mergeCell ref="I117:L117"/>
    <mergeCell ref="M117:N117"/>
    <mergeCell ref="O117:P117"/>
    <mergeCell ref="Q117:R117"/>
    <mergeCell ref="B118:D118"/>
    <mergeCell ref="I118:L118"/>
    <mergeCell ref="M118:N118"/>
    <mergeCell ref="O118:P118"/>
    <mergeCell ref="Q118:R118"/>
    <mergeCell ref="B119:D119"/>
    <mergeCell ref="I119:L119"/>
    <mergeCell ref="M119:N119"/>
    <mergeCell ref="O119:P119"/>
    <mergeCell ref="Q119:R119"/>
    <mergeCell ref="B120:D120"/>
    <mergeCell ref="I120:L120"/>
    <mergeCell ref="M120:N120"/>
    <mergeCell ref="O120:P120"/>
    <mergeCell ref="Q120:R120"/>
    <mergeCell ref="M121:N121"/>
    <mergeCell ref="O121:P121"/>
    <mergeCell ref="Q121:R121"/>
    <mergeCell ref="G125:H125"/>
    <mergeCell ref="B128:D129"/>
    <mergeCell ref="E128:E129"/>
    <mergeCell ref="F128:H129"/>
    <mergeCell ref="I128:L129"/>
    <mergeCell ref="M128:P128"/>
    <mergeCell ref="Q128:R129"/>
    <mergeCell ref="M129:N129"/>
    <mergeCell ref="O129:P129"/>
    <mergeCell ref="B130:D130"/>
    <mergeCell ref="F130:H139"/>
    <mergeCell ref="I130:L130"/>
    <mergeCell ref="M130:N130"/>
    <mergeCell ref="O130:P130"/>
    <mergeCell ref="Q130:R130"/>
    <mergeCell ref="B131:D131"/>
    <mergeCell ref="I131:L131"/>
    <mergeCell ref="M131:N131"/>
    <mergeCell ref="O131:P131"/>
    <mergeCell ref="Q131:R131"/>
    <mergeCell ref="B132:D132"/>
    <mergeCell ref="I132:L132"/>
    <mergeCell ref="M132:N132"/>
    <mergeCell ref="O132:P132"/>
    <mergeCell ref="Q132:R132"/>
    <mergeCell ref="B133:D133"/>
    <mergeCell ref="I133:L133"/>
    <mergeCell ref="M133:N133"/>
    <mergeCell ref="O133:P133"/>
    <mergeCell ref="Q133:R133"/>
    <mergeCell ref="B134:D134"/>
    <mergeCell ref="I134:L134"/>
    <mergeCell ref="M134:N134"/>
    <mergeCell ref="O134:P134"/>
    <mergeCell ref="Q134:R134"/>
    <mergeCell ref="B135:D135"/>
    <mergeCell ref="I135:L135"/>
    <mergeCell ref="M135:N135"/>
    <mergeCell ref="O135:P135"/>
    <mergeCell ref="Q135:R135"/>
    <mergeCell ref="B136:D136"/>
    <mergeCell ref="I136:L136"/>
    <mergeCell ref="M136:N136"/>
    <mergeCell ref="O136:P136"/>
    <mergeCell ref="Q136:R136"/>
    <mergeCell ref="B137:D137"/>
    <mergeCell ref="I137:L137"/>
    <mergeCell ref="M137:N137"/>
    <mergeCell ref="O137:P137"/>
    <mergeCell ref="Q137:R137"/>
    <mergeCell ref="B138:D138"/>
    <mergeCell ref="I138:L138"/>
    <mergeCell ref="M138:N138"/>
    <mergeCell ref="O138:P138"/>
    <mergeCell ref="Q138:R138"/>
    <mergeCell ref="B139:D139"/>
    <mergeCell ref="I139:L139"/>
    <mergeCell ref="M139:N139"/>
    <mergeCell ref="O139:P139"/>
    <mergeCell ref="Q139:R139"/>
    <mergeCell ref="M140:N140"/>
    <mergeCell ref="O140:P140"/>
    <mergeCell ref="Q140:R140"/>
    <mergeCell ref="G143:H143"/>
    <mergeCell ref="B145:D146"/>
    <mergeCell ref="E145:G146"/>
    <mergeCell ref="H145:H146"/>
    <mergeCell ref="I145:L146"/>
    <mergeCell ref="M145:P145"/>
    <mergeCell ref="Q145:R146"/>
    <mergeCell ref="M146:N146"/>
    <mergeCell ref="O146:P146"/>
    <mergeCell ref="B147:D147"/>
    <mergeCell ref="E147:G147"/>
    <mergeCell ref="I147:L147"/>
    <mergeCell ref="M147:N147"/>
    <mergeCell ref="O147:P147"/>
    <mergeCell ref="Q147:R147"/>
    <mergeCell ref="M148:P148"/>
    <mergeCell ref="L150:M150"/>
    <mergeCell ref="P150:Q150"/>
    <mergeCell ref="B151:R151"/>
    <mergeCell ref="B152:R152"/>
    <mergeCell ref="B153:R153"/>
    <mergeCell ref="B154:R154"/>
    <mergeCell ref="B155:R155"/>
    <mergeCell ref="F161:H161"/>
    <mergeCell ref="B163:D164"/>
    <mergeCell ref="E163:G164"/>
    <mergeCell ref="H163:H164"/>
    <mergeCell ref="I163:L164"/>
    <mergeCell ref="M163:P163"/>
    <mergeCell ref="Q163:R164"/>
    <mergeCell ref="M164:N164"/>
    <mergeCell ref="O164:P164"/>
    <mergeCell ref="B165:D165"/>
    <mergeCell ref="E165:G165"/>
    <mergeCell ref="I165:L165"/>
    <mergeCell ref="M165:N165"/>
    <mergeCell ref="O165:P165"/>
    <mergeCell ref="Q165:R165"/>
    <mergeCell ref="B166:D166"/>
    <mergeCell ref="E166:G166"/>
    <mergeCell ref="I166:L166"/>
    <mergeCell ref="M166:N166"/>
    <mergeCell ref="O166:P166"/>
    <mergeCell ref="Q166:R166"/>
    <mergeCell ref="M167:N167"/>
    <mergeCell ref="O167:P167"/>
    <mergeCell ref="Q167:R167"/>
    <mergeCell ref="M168:P168"/>
    <mergeCell ref="B170:R170"/>
    <mergeCell ref="B171:R171"/>
    <mergeCell ref="B172:R172"/>
    <mergeCell ref="B173:R173"/>
    <mergeCell ref="B174:R174"/>
    <mergeCell ref="B175:R175"/>
    <mergeCell ref="B176:R176"/>
    <mergeCell ref="G178:H178"/>
  </mergeCells>
  <dataValidations count="32">
    <dataValidation allowBlank="1" showInputMessage="1" showErrorMessage="1" prompt="Please choose the relevant tipp or remark from the list and copy it into this box, or add your own remark " sqref="B60:R61 B84:B85 B151:B152 B170:B171">
      <formula1>0</formula1>
      <formula2>0</formula2>
    </dataValidation>
    <dataValidation type="list" allowBlank="1" showErrorMessage="1" sqref="L18:L20">
      <formula1>$V$16:$V$20</formula1>
      <formula2>0</formula2>
    </dataValidation>
    <dataValidation type="list" allowBlank="1" showErrorMessage="1" sqref="L16">
      <formula1>$V$13:$V$15</formula1>
      <formula2>0</formula2>
    </dataValidation>
    <dataValidation type="list" allowBlank="1" showErrorMessage="1" sqref="B147:D147">
      <formula1>$W$142:$W$144</formula1>
      <formula2>0</formula2>
    </dataValidation>
    <dataValidation type="list" allowBlank="1" showErrorMessage="1" sqref="G161">
      <formula1>$W$162:$W$164</formula1>
      <formula2>0</formula2>
    </dataValidation>
    <dataValidation type="list" allowBlank="1" showErrorMessage="1" sqref="G178:H178">
      <formula1>$V$175:$V$177</formula1>
      <formula2>0</formula2>
    </dataValidation>
    <dataValidation type="list" allowBlank="1" showErrorMessage="1" sqref="I165:I166">
      <formula1>$V$166:$V$168</formula1>
      <formula2>0</formula2>
    </dataValidation>
    <dataValidation type="list" allowBlank="1" showErrorMessage="1" sqref="M162">
      <formula1>"#ref!"</formula1>
      <formula2>0</formula2>
    </dataValidation>
    <dataValidation type="list" allowBlank="1" showErrorMessage="1" sqref="F162">
      <formula1>$V$159:$V$165</formula1>
      <formula2>0</formula2>
    </dataValidation>
    <dataValidation type="list" allowBlank="1" showErrorMessage="1" sqref="F167:G167 F168:H168">
      <formula1>$V$13:$V$34</formula1>
      <formula2>0</formula2>
    </dataValidation>
    <dataValidation type="list" allowBlank="1" showErrorMessage="1" sqref="G143:H143">
      <formula1>$V$142:$V$144</formula1>
      <formula2>0</formula2>
    </dataValidation>
    <dataValidation type="list" allowBlank="1" showErrorMessage="1" sqref="J167:K168">
      <formula1>$V$176:$V$176</formula1>
      <formula2>0</formula2>
    </dataValidation>
    <dataValidation type="list" allowBlank="1" showErrorMessage="1" sqref="H94 G112:H112">
      <formula1>$V$92:$V$95</formula1>
      <formula2>0</formula2>
    </dataValidation>
    <dataValidation type="list" showErrorMessage="1" sqref="C30:D39 B47:D56 C76:D80 B79:B80 C98:D107 B105:B107 B116:D120 B130:D139 B148:H148">
      <formula1>$V$13:$V$34</formula1>
      <formula2>0</formula2>
    </dataValidation>
    <dataValidation type="list" showErrorMessage="1" sqref="C40:D44 C57:D57 C72:D73 C81:D81 C94:D95 C108:D108 C121:D121 C125:D127 C140:D140">
      <formula1>$V$13:$V$38</formula1>
      <formula2>0</formula2>
    </dataValidation>
    <dataValidation type="list" allowBlank="1" showErrorMessage="1" sqref="I30:L39">
      <formula1>$W$29:$W$31</formula1>
      <formula2>0</formula2>
    </dataValidation>
    <dataValidation type="list" showErrorMessage="1" sqref="E76:G80">
      <formula1>$V$72:$V$176</formula1>
      <formula2>0</formula2>
    </dataValidation>
    <dataValidation type="list" allowBlank="1" showErrorMessage="1" sqref="I76:L80">
      <formula1>$W$73:$W$76</formula1>
      <formula2>0</formula2>
    </dataValidation>
    <dataValidation type="list" allowBlank="1" showErrorMessage="1" sqref="I47:L56">
      <formula1>$W$46:$W$47</formula1>
      <formula2>0</formula2>
    </dataValidation>
    <dataValidation type="list" allowBlank="1" showErrorMessage="1" sqref="H26">
      <formula1>$W$23:$W$26</formula1>
      <formula2>0</formula2>
    </dataValidation>
    <dataValidation type="list" allowBlank="1" showErrorMessage="1" sqref="G43:H43">
      <formula1>$V$42:$V$45</formula1>
      <formula2>0</formula2>
    </dataValidation>
    <dataValidation type="list" allowBlank="1" showErrorMessage="1" sqref="H72">
      <formula1>$V$68:$V$71</formula1>
      <formula2>0</formula2>
    </dataValidation>
    <dataValidation type="list" allowBlank="1" showErrorMessage="1" sqref="G125:H125">
      <formula1>$V$125:$V$128</formula1>
      <formula2>0</formula2>
    </dataValidation>
    <dataValidation type="list" showErrorMessage="1" sqref="C165:D166 B166">
      <formula1>$V$13:$V$35</formula1>
      <formula2>0</formula2>
    </dataValidation>
    <dataValidation type="list" allowBlank="1" showErrorMessage="1" sqref="L17:N17">
      <formula1>$V$16:$V$21</formula1>
      <formula2>0</formula2>
    </dataValidation>
    <dataValidation type="list" allowBlank="1" showErrorMessage="1" sqref="I98:L107">
      <formula1>$W$97:$W$98</formula1>
      <formula2>0</formula2>
    </dataValidation>
    <dataValidation type="list" allowBlank="1" showErrorMessage="1" sqref="I116:L120">
      <formula1>$W$116:$W$117</formula1>
      <formula2>0</formula2>
    </dataValidation>
    <dataValidation type="list" allowBlank="1" showErrorMessage="1" sqref="I147:L147">
      <formula1>$W$146:$W$147</formula1>
      <formula2>0</formula2>
    </dataValidation>
    <dataValidation type="list" allowBlank="1" showErrorMessage="1" sqref="I130:L139">
      <formula1>$W$132:$W$133</formula1>
      <formula2>0</formula2>
    </dataValidation>
    <dataValidation type="list" showErrorMessage="1" sqref="B30:B39 B76:B78 B98:B104 B165">
      <formula1>heating!$V$24:$V$35</formula1>
      <formula2>0</formula2>
    </dataValidation>
    <dataValidation type="list" allowBlank="1" showErrorMessage="1" sqref="G26 G72 G94">
      <formula1>heating!$V$69:$V$71</formula1>
      <formula2>0</formula2>
    </dataValidation>
    <dataValidation type="list" allowBlank="1" showErrorMessage="1" sqref="F161">
      <formula1>heating!$V$160:$V$161</formula1>
      <formula2>0</formula2>
    </dataValidation>
  </dataValidations>
  <printOptions/>
  <pageMargins left="0.7875" right="0.7875" top="0.9840277777777777" bottom="0.9840277777777777" header="0.5118055555555555" footer="0.5118055555555555"/>
  <pageSetup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tabColor indexed="12"/>
  </sheetPr>
  <dimension ref="A1:O83"/>
  <sheetViews>
    <sheetView workbookViewId="0" topLeftCell="A46">
      <selection activeCell="E60" sqref="E60"/>
    </sheetView>
  </sheetViews>
  <sheetFormatPr defaultColWidth="9.140625" defaultRowHeight="12.75"/>
  <sheetData>
    <row r="1" ht="41.25" customHeight="1">
      <c r="C1" s="576" t="s">
        <v>504</v>
      </c>
    </row>
    <row r="2" ht="13.5" customHeight="1">
      <c r="C2" s="576"/>
    </row>
    <row r="3" spans="1:15" ht="12.75" customHeight="1">
      <c r="A3" s="577" t="s">
        <v>505</v>
      </c>
      <c r="B3" s="578"/>
      <c r="C3" s="578"/>
      <c r="D3" s="578"/>
      <c r="E3" s="578"/>
      <c r="F3" s="578"/>
      <c r="G3" s="579"/>
      <c r="H3" s="579"/>
      <c r="K3" t="s">
        <v>506</v>
      </c>
      <c r="M3" t="s">
        <v>507</v>
      </c>
      <c r="O3" t="s">
        <v>508</v>
      </c>
    </row>
    <row r="4" spans="1:15" ht="12.75">
      <c r="A4" s="577"/>
      <c r="B4" s="577"/>
      <c r="C4" s="577"/>
      <c r="D4" s="577"/>
      <c r="E4" s="577"/>
      <c r="K4" t="s">
        <v>509</v>
      </c>
      <c r="M4" t="s">
        <v>510</v>
      </c>
      <c r="O4" t="s">
        <v>511</v>
      </c>
    </row>
    <row r="5" spans="1:15" ht="12.75" customHeight="1">
      <c r="A5" s="577" t="s">
        <v>512</v>
      </c>
      <c r="B5" s="577"/>
      <c r="C5" s="577"/>
      <c r="D5" s="578"/>
      <c r="E5" s="578"/>
      <c r="F5" s="578"/>
      <c r="G5" s="579"/>
      <c r="H5" s="579"/>
      <c r="K5" t="s">
        <v>513</v>
      </c>
      <c r="M5" t="s">
        <v>514</v>
      </c>
      <c r="O5" t="s">
        <v>515</v>
      </c>
    </row>
    <row r="6" spans="1:15" ht="12.75">
      <c r="A6" s="577"/>
      <c r="B6" s="577"/>
      <c r="C6" s="577"/>
      <c r="D6" s="577"/>
      <c r="E6" s="577"/>
      <c r="K6" t="s">
        <v>516</v>
      </c>
      <c r="M6" t="s">
        <v>517</v>
      </c>
      <c r="O6" t="s">
        <v>514</v>
      </c>
    </row>
    <row r="7" spans="1:8" ht="14.25">
      <c r="A7" s="580" t="s">
        <v>518</v>
      </c>
      <c r="B7" s="580"/>
      <c r="C7" s="580"/>
      <c r="D7" s="580"/>
      <c r="E7" s="580"/>
      <c r="F7" s="580"/>
      <c r="G7" s="580"/>
      <c r="H7" s="580"/>
    </row>
    <row r="8" spans="1:15" ht="12.75" customHeight="1">
      <c r="A8" s="581"/>
      <c r="B8" s="581"/>
      <c r="C8" s="582" t="s">
        <v>519</v>
      </c>
      <c r="D8" s="582"/>
      <c r="E8" s="582"/>
      <c r="F8" s="582"/>
      <c r="G8" s="583"/>
      <c r="H8" s="583"/>
      <c r="K8" t="s">
        <v>520</v>
      </c>
      <c r="O8" t="s">
        <v>517</v>
      </c>
    </row>
    <row r="9" spans="1:11" ht="14.25">
      <c r="A9" s="577"/>
      <c r="B9" s="577"/>
      <c r="C9" s="582" t="s">
        <v>521</v>
      </c>
      <c r="D9" s="582"/>
      <c r="E9" s="582"/>
      <c r="F9" s="582"/>
      <c r="G9" s="583"/>
      <c r="H9" s="583"/>
      <c r="K9" t="s">
        <v>514</v>
      </c>
    </row>
    <row r="10" spans="1:11" ht="14.25">
      <c r="A10" s="577"/>
      <c r="B10" s="577"/>
      <c r="C10" s="582" t="s">
        <v>522</v>
      </c>
      <c r="D10" s="582"/>
      <c r="E10" s="582"/>
      <c r="F10" s="582"/>
      <c r="G10" s="583"/>
      <c r="H10" s="583"/>
      <c r="K10" t="s">
        <v>517</v>
      </c>
    </row>
    <row r="11" spans="1:8" ht="14.25">
      <c r="A11" s="577"/>
      <c r="B11" s="577"/>
      <c r="C11" s="582" t="s">
        <v>523</v>
      </c>
      <c r="D11" s="582"/>
      <c r="E11" s="582"/>
      <c r="F11" s="582"/>
      <c r="G11" s="583"/>
      <c r="H11" s="583"/>
    </row>
    <row r="12" spans="1:8" ht="14.25">
      <c r="A12" s="577"/>
      <c r="B12" s="577"/>
      <c r="C12" s="582" t="s">
        <v>524</v>
      </c>
      <c r="D12" s="582"/>
      <c r="E12" s="582"/>
      <c r="F12" s="582"/>
      <c r="G12" s="583"/>
      <c r="H12" s="583"/>
    </row>
    <row r="13" spans="1:8" ht="14.25">
      <c r="A13" s="577"/>
      <c r="B13" s="577"/>
      <c r="C13" s="582" t="s">
        <v>525</v>
      </c>
      <c r="D13" s="582"/>
      <c r="E13" s="582"/>
      <c r="F13" s="582"/>
      <c r="G13" s="583"/>
      <c r="H13" s="583"/>
    </row>
    <row r="14" spans="1:8" ht="14.25">
      <c r="A14" s="577"/>
      <c r="B14" s="577"/>
      <c r="C14" s="582" t="s">
        <v>526</v>
      </c>
      <c r="D14" s="582"/>
      <c r="E14" s="582"/>
      <c r="F14" s="582"/>
      <c r="G14" s="583"/>
      <c r="H14" s="583"/>
    </row>
    <row r="15" spans="1:8" ht="14.25">
      <c r="A15" s="577"/>
      <c r="B15" s="577"/>
      <c r="C15" s="582" t="s">
        <v>527</v>
      </c>
      <c r="D15" s="582"/>
      <c r="E15" s="582"/>
      <c r="F15" s="582"/>
      <c r="G15" s="583"/>
      <c r="H15" s="583"/>
    </row>
    <row r="16" spans="1:8" ht="14.25">
      <c r="A16" s="577"/>
      <c r="B16" s="577"/>
      <c r="C16" s="582" t="s">
        <v>528</v>
      </c>
      <c r="D16" s="582"/>
      <c r="E16" s="582"/>
      <c r="F16" s="582"/>
      <c r="G16" s="584"/>
      <c r="H16" s="584"/>
    </row>
    <row r="17" spans="1:3" ht="12.75">
      <c r="A17" s="577"/>
      <c r="B17" s="577"/>
      <c r="C17" s="577"/>
    </row>
    <row r="18" spans="1:8" ht="33.75" customHeight="1">
      <c r="A18" s="585" t="s">
        <v>529</v>
      </c>
      <c r="B18" s="585"/>
      <c r="C18" s="585"/>
      <c r="D18" s="585"/>
      <c r="E18" s="585"/>
      <c r="F18" s="585"/>
      <c r="G18" s="579"/>
      <c r="H18" s="579"/>
    </row>
    <row r="19" spans="1:5" ht="14.25">
      <c r="A19" s="577"/>
      <c r="B19" s="577"/>
      <c r="C19" s="577"/>
      <c r="D19" s="577"/>
      <c r="E19" s="577"/>
    </row>
    <row r="20" spans="1:11" ht="14.25" customHeight="1">
      <c r="A20" s="586" t="s">
        <v>530</v>
      </c>
      <c r="B20" s="586"/>
      <c r="C20" s="586"/>
      <c r="D20" s="587"/>
      <c r="E20" s="587"/>
      <c r="F20" s="587"/>
      <c r="G20" s="588"/>
      <c r="H20" s="588"/>
      <c r="K20" s="589" t="s">
        <v>531</v>
      </c>
    </row>
    <row r="21" spans="1:11" ht="14.25" customHeight="1">
      <c r="A21" s="586"/>
      <c r="B21" s="590" t="s">
        <v>532</v>
      </c>
      <c r="C21" s="590"/>
      <c r="D21" s="590"/>
      <c r="E21" s="590"/>
      <c r="F21" s="591"/>
      <c r="G21" s="591"/>
      <c r="H21" s="591"/>
      <c r="K21" s="589" t="s">
        <v>533</v>
      </c>
    </row>
    <row r="22" spans="1:11" ht="14.25" customHeight="1">
      <c r="A22" s="586"/>
      <c r="B22" s="590" t="s">
        <v>534</v>
      </c>
      <c r="C22" s="590"/>
      <c r="D22" s="590"/>
      <c r="E22" s="590"/>
      <c r="F22" s="591"/>
      <c r="G22" s="591"/>
      <c r="H22" s="591"/>
      <c r="K22" s="589" t="s">
        <v>535</v>
      </c>
    </row>
    <row r="23" spans="1:11" ht="14.25" customHeight="1">
      <c r="A23" s="586"/>
      <c r="B23" s="590" t="s">
        <v>536</v>
      </c>
      <c r="C23" s="590"/>
      <c r="D23" s="590"/>
      <c r="E23" s="590"/>
      <c r="F23" s="591"/>
      <c r="G23" s="591"/>
      <c r="H23" s="591"/>
      <c r="K23" s="589" t="s">
        <v>537</v>
      </c>
    </row>
    <row r="24" spans="1:11" ht="14.25" customHeight="1">
      <c r="A24" s="586"/>
      <c r="B24" s="590" t="s">
        <v>538</v>
      </c>
      <c r="C24" s="590"/>
      <c r="D24" s="590"/>
      <c r="E24" s="590"/>
      <c r="F24" s="591"/>
      <c r="G24" s="591"/>
      <c r="H24" s="591"/>
      <c r="K24" s="81" t="s">
        <v>539</v>
      </c>
    </row>
    <row r="25" spans="1:11" ht="23.25" customHeight="1">
      <c r="A25" s="585"/>
      <c r="B25" s="592" t="s">
        <v>540</v>
      </c>
      <c r="C25" s="592"/>
      <c r="D25" s="592"/>
      <c r="E25" s="592"/>
      <c r="F25" s="591"/>
      <c r="G25" s="591"/>
      <c r="H25" s="591"/>
      <c r="K25" s="81" t="s">
        <v>541</v>
      </c>
    </row>
    <row r="26" spans="1:5" ht="12.75">
      <c r="A26" s="577"/>
      <c r="B26" s="577"/>
      <c r="C26" s="577"/>
      <c r="D26" s="577"/>
      <c r="E26" s="577"/>
    </row>
    <row r="27" spans="1:11" ht="14.25">
      <c r="A27" s="593"/>
      <c r="B27" s="593"/>
      <c r="C27" s="593"/>
      <c r="D27" s="593"/>
      <c r="E27" s="593"/>
      <c r="F27" s="593"/>
      <c r="G27" s="593"/>
      <c r="H27" s="593"/>
      <c r="K27" s="577" t="s">
        <v>542</v>
      </c>
    </row>
    <row r="28" spans="1:11" ht="14.25">
      <c r="A28" s="576" t="s">
        <v>543</v>
      </c>
      <c r="B28" s="577"/>
      <c r="C28" s="577"/>
      <c r="D28" s="577"/>
      <c r="E28" s="577"/>
      <c r="K28" s="577" t="s">
        <v>544</v>
      </c>
    </row>
    <row r="29" spans="1:11" ht="33.75" customHeight="1">
      <c r="A29" s="581" t="s">
        <v>545</v>
      </c>
      <c r="B29" s="581"/>
      <c r="C29" s="581"/>
      <c r="D29" s="581"/>
      <c r="E29" s="581"/>
      <c r="F29" s="594"/>
      <c r="G29" s="594"/>
      <c r="H29" s="594"/>
      <c r="K29" s="577" t="s">
        <v>546</v>
      </c>
    </row>
    <row r="30" spans="1:11" ht="14.25">
      <c r="A30" s="577"/>
      <c r="B30" s="577"/>
      <c r="C30" s="577"/>
      <c r="D30" s="577"/>
      <c r="E30" s="577"/>
      <c r="F30" s="577"/>
      <c r="G30" s="577"/>
      <c r="H30" s="577"/>
      <c r="K30" s="577" t="s">
        <v>547</v>
      </c>
    </row>
    <row r="31" spans="1:11" ht="14.25">
      <c r="A31" s="595" t="s">
        <v>548</v>
      </c>
      <c r="B31" s="577"/>
      <c r="C31" s="577"/>
      <c r="D31" s="577"/>
      <c r="E31" s="577"/>
      <c r="F31" s="596"/>
      <c r="G31" s="597"/>
      <c r="H31" s="597"/>
      <c r="K31" s="577" t="s">
        <v>549</v>
      </c>
    </row>
    <row r="32" spans="1:11" ht="12.75">
      <c r="A32" s="595" t="s">
        <v>550</v>
      </c>
      <c r="B32" s="596"/>
      <c r="C32" s="584"/>
      <c r="D32" s="584"/>
      <c r="E32" s="584"/>
      <c r="F32" s="584"/>
      <c r="G32" s="584"/>
      <c r="H32" s="584"/>
      <c r="K32" t="s">
        <v>551</v>
      </c>
    </row>
    <row r="33" spans="1:8" ht="20.25" customHeight="1">
      <c r="A33" s="598" t="s">
        <v>552</v>
      </c>
      <c r="B33" s="598"/>
      <c r="C33" s="598"/>
      <c r="D33" s="598"/>
      <c r="E33" s="598"/>
      <c r="F33" s="598"/>
      <c r="G33" s="599"/>
      <c r="H33" s="599"/>
    </row>
    <row r="34" spans="1:8" ht="12.75">
      <c r="A34" s="577"/>
      <c r="B34" s="577"/>
      <c r="C34" s="577"/>
      <c r="D34" s="577"/>
      <c r="E34" s="577"/>
      <c r="H34" s="577"/>
    </row>
    <row r="35" spans="1:8" ht="14.25" customHeight="1">
      <c r="A35" s="581" t="s">
        <v>553</v>
      </c>
      <c r="B35" s="581"/>
      <c r="C35" s="581"/>
      <c r="D35" s="581"/>
      <c r="E35" s="581"/>
      <c r="F35" s="581"/>
      <c r="G35" s="581"/>
      <c r="H35" s="581"/>
    </row>
    <row r="36" spans="1:8" ht="14.25">
      <c r="A36" s="581"/>
      <c r="B36" s="581"/>
      <c r="C36" s="582" t="s">
        <v>554</v>
      </c>
      <c r="D36" s="582"/>
      <c r="E36" s="582"/>
      <c r="F36" s="582"/>
      <c r="G36" s="583"/>
      <c r="H36" s="583"/>
    </row>
    <row r="37" spans="1:8" ht="12.75" customHeight="1">
      <c r="A37" s="577"/>
      <c r="B37" s="577"/>
      <c r="C37" s="582" t="s">
        <v>555</v>
      </c>
      <c r="D37" s="582"/>
      <c r="E37" s="582"/>
      <c r="F37" s="582"/>
      <c r="G37" s="583"/>
      <c r="H37" s="583"/>
    </row>
    <row r="38" spans="1:8" ht="14.25">
      <c r="A38" s="577"/>
      <c r="B38" s="577"/>
      <c r="C38" s="582" t="s">
        <v>556</v>
      </c>
      <c r="D38" s="582"/>
      <c r="E38" s="582"/>
      <c r="F38" s="582"/>
      <c r="G38" s="583"/>
      <c r="H38" s="583"/>
    </row>
    <row r="39" spans="1:8" ht="12.75" customHeight="1">
      <c r="A39" s="577"/>
      <c r="B39" s="577"/>
      <c r="C39" s="582" t="s">
        <v>557</v>
      </c>
      <c r="D39" s="582"/>
      <c r="E39" s="582"/>
      <c r="F39" s="582"/>
      <c r="G39" s="583"/>
      <c r="H39" s="583"/>
    </row>
    <row r="40" spans="1:8" ht="14.25">
      <c r="A40" s="577"/>
      <c r="B40" s="577"/>
      <c r="C40" s="582" t="s">
        <v>558</v>
      </c>
      <c r="D40" s="582"/>
      <c r="E40" s="582"/>
      <c r="F40" s="582"/>
      <c r="G40" s="583"/>
      <c r="H40" s="583"/>
    </row>
    <row r="41" spans="1:8" ht="12.75" customHeight="1">
      <c r="A41" s="577"/>
      <c r="B41" s="577"/>
      <c r="C41" s="582" t="s">
        <v>16</v>
      </c>
      <c r="D41" s="582"/>
      <c r="E41" s="582"/>
      <c r="F41" s="582"/>
      <c r="G41" s="584"/>
      <c r="H41" s="584"/>
    </row>
    <row r="42" spans="1:3" ht="12.75">
      <c r="A42" s="577"/>
      <c r="B42" s="577"/>
      <c r="C42" s="577"/>
    </row>
    <row r="43" spans="1:8" ht="14.25" customHeight="1">
      <c r="A43" s="581" t="s">
        <v>559</v>
      </c>
      <c r="B43" s="581"/>
      <c r="C43" s="581"/>
      <c r="D43" s="581"/>
      <c r="E43" s="581"/>
      <c r="F43" s="581"/>
      <c r="G43" s="581"/>
      <c r="H43" s="581"/>
    </row>
    <row r="44" spans="1:8" ht="14.25">
      <c r="A44" s="581"/>
      <c r="B44" s="581"/>
      <c r="C44" s="582" t="s">
        <v>560</v>
      </c>
      <c r="D44" s="582"/>
      <c r="E44" s="582"/>
      <c r="F44" s="582"/>
      <c r="G44" s="583"/>
      <c r="H44" s="583"/>
    </row>
    <row r="45" spans="1:8" ht="14.25">
      <c r="A45" s="577"/>
      <c r="B45" s="577"/>
      <c r="C45" s="582" t="s">
        <v>561</v>
      </c>
      <c r="D45" s="582"/>
      <c r="E45" s="582"/>
      <c r="F45" s="582"/>
      <c r="G45" s="583"/>
      <c r="H45" s="583"/>
    </row>
    <row r="46" spans="1:8" ht="12.75" customHeight="1">
      <c r="A46" s="577"/>
      <c r="B46" s="577"/>
      <c r="C46" s="582" t="s">
        <v>562</v>
      </c>
      <c r="D46" s="582"/>
      <c r="E46" s="582"/>
      <c r="F46" s="582"/>
      <c r="G46" s="583"/>
      <c r="H46" s="583"/>
    </row>
    <row r="47" spans="1:8" ht="14.25">
      <c r="A47" s="577"/>
      <c r="B47" s="577"/>
      <c r="C47" s="582" t="s">
        <v>563</v>
      </c>
      <c r="D47" s="582"/>
      <c r="E47" s="582"/>
      <c r="F47" s="582"/>
      <c r="G47" s="583"/>
      <c r="H47" s="583"/>
    </row>
    <row r="48" spans="1:8" ht="12.75" customHeight="1">
      <c r="A48" s="577"/>
      <c r="B48" s="577"/>
      <c r="C48" s="582" t="s">
        <v>564</v>
      </c>
      <c r="D48" s="582"/>
      <c r="E48" s="582"/>
      <c r="F48" s="582"/>
      <c r="G48" s="583"/>
      <c r="H48" s="583"/>
    </row>
    <row r="49" spans="1:8" ht="14.25">
      <c r="A49" s="577"/>
      <c r="B49" s="577"/>
      <c r="C49" s="582" t="s">
        <v>565</v>
      </c>
      <c r="D49" s="582"/>
      <c r="E49" s="582"/>
      <c r="F49" s="582"/>
      <c r="G49" s="583"/>
      <c r="H49" s="583"/>
    </row>
    <row r="50" spans="1:8" ht="12.75" customHeight="1">
      <c r="A50" s="577"/>
      <c r="B50" s="577"/>
      <c r="C50" s="582" t="s">
        <v>566</v>
      </c>
      <c r="D50" s="582"/>
      <c r="E50" s="582"/>
      <c r="F50" s="582"/>
      <c r="G50" s="583"/>
      <c r="H50" s="583"/>
    </row>
    <row r="51" spans="1:8" ht="14.25">
      <c r="A51" s="577"/>
      <c r="B51" s="577"/>
      <c r="C51" s="582" t="s">
        <v>16</v>
      </c>
      <c r="D51" s="582"/>
      <c r="E51" s="582"/>
      <c r="F51" s="582"/>
      <c r="G51" s="584"/>
      <c r="H51" s="584"/>
    </row>
    <row r="52" spans="1:3" ht="12.75">
      <c r="A52" s="577"/>
      <c r="B52" s="577"/>
      <c r="C52" s="577"/>
    </row>
    <row r="53" spans="1:8" ht="14.25" customHeight="1">
      <c r="A53" s="581" t="s">
        <v>567</v>
      </c>
      <c r="B53" s="581"/>
      <c r="C53" s="581"/>
      <c r="D53" s="581"/>
      <c r="E53" s="581"/>
      <c r="F53" s="581"/>
      <c r="G53" s="581"/>
      <c r="H53" s="581"/>
    </row>
    <row r="54" spans="1:8" ht="14.25">
      <c r="A54" s="581"/>
      <c r="B54" s="581"/>
      <c r="C54" s="577"/>
      <c r="D54" s="582" t="s">
        <v>568</v>
      </c>
      <c r="E54" s="582"/>
      <c r="F54" s="582"/>
      <c r="G54" s="583"/>
      <c r="H54" s="583"/>
    </row>
    <row r="55" spans="1:8" ht="12.75" customHeight="1">
      <c r="A55" s="577"/>
      <c r="B55" s="577"/>
      <c r="C55" s="577"/>
      <c r="D55" s="582" t="s">
        <v>569</v>
      </c>
      <c r="E55" s="582"/>
      <c r="F55" s="582"/>
      <c r="G55" s="583"/>
      <c r="H55" s="583"/>
    </row>
    <row r="56" spans="1:8" ht="14.25">
      <c r="A56" s="577"/>
      <c r="B56" s="577"/>
      <c r="C56" s="577"/>
      <c r="D56" s="582" t="s">
        <v>570</v>
      </c>
      <c r="E56" s="582"/>
      <c r="F56" s="582"/>
      <c r="G56" s="583"/>
      <c r="H56" s="583"/>
    </row>
    <row r="57" spans="1:8" ht="12.75" customHeight="1">
      <c r="A57" s="577"/>
      <c r="B57" s="577"/>
      <c r="C57" s="577"/>
      <c r="D57" s="582" t="s">
        <v>571</v>
      </c>
      <c r="E57" s="582"/>
      <c r="F57" s="582"/>
      <c r="G57" s="584"/>
      <c r="H57" s="584"/>
    </row>
    <row r="58" spans="1:11" ht="14.25">
      <c r="A58" s="577"/>
      <c r="B58" s="577"/>
      <c r="C58" s="577"/>
      <c r="D58" s="577"/>
      <c r="E58" s="577"/>
      <c r="F58" s="577"/>
      <c r="G58" s="577"/>
      <c r="H58" s="577"/>
      <c r="K58" s="600" t="s">
        <v>572</v>
      </c>
    </row>
    <row r="59" spans="1:11" ht="14.25">
      <c r="A59" s="577" t="s">
        <v>573</v>
      </c>
      <c r="B59" s="601"/>
      <c r="C59" s="601"/>
      <c r="D59" s="601"/>
      <c r="E59" s="601"/>
      <c r="F59" s="601"/>
      <c r="G59" s="601"/>
      <c r="H59" s="601"/>
      <c r="K59" s="600" t="s">
        <v>574</v>
      </c>
    </row>
    <row r="60" spans="1:11" ht="14.25">
      <c r="A60" s="577"/>
      <c r="D60" s="582" t="s">
        <v>575</v>
      </c>
      <c r="E60" s="591"/>
      <c r="F60" s="591"/>
      <c r="G60" s="591"/>
      <c r="H60" s="591"/>
      <c r="K60" s="600" t="s">
        <v>576</v>
      </c>
    </row>
    <row r="61" spans="1:11" ht="14.25">
      <c r="A61" s="577"/>
      <c r="D61" s="582" t="s">
        <v>577</v>
      </c>
      <c r="E61" s="591"/>
      <c r="F61" s="591"/>
      <c r="G61" s="591"/>
      <c r="H61" s="591"/>
      <c r="K61" s="600" t="s">
        <v>578</v>
      </c>
    </row>
    <row r="62" spans="1:11" ht="14.25">
      <c r="A62" s="577"/>
      <c r="D62" s="582" t="s">
        <v>579</v>
      </c>
      <c r="E62" s="591"/>
      <c r="F62" s="591"/>
      <c r="G62" s="591"/>
      <c r="H62" s="591"/>
      <c r="K62" s="600" t="s">
        <v>580</v>
      </c>
    </row>
    <row r="63" spans="1:11" ht="14.25">
      <c r="A63" s="577"/>
      <c r="D63" s="582" t="s">
        <v>581</v>
      </c>
      <c r="E63" s="591"/>
      <c r="F63" s="591"/>
      <c r="G63" s="591"/>
      <c r="H63" s="591"/>
      <c r="K63" s="600" t="s">
        <v>582</v>
      </c>
    </row>
    <row r="64" spans="1:11" ht="14.25">
      <c r="A64" s="577"/>
      <c r="B64" s="577"/>
      <c r="C64" s="577"/>
      <c r="D64" s="577"/>
      <c r="E64" s="577"/>
      <c r="F64" s="577"/>
      <c r="G64" s="577"/>
      <c r="H64" s="577"/>
      <c r="K64" s="600" t="s">
        <v>583</v>
      </c>
    </row>
    <row r="65" spans="1:8" ht="23.25" customHeight="1">
      <c r="A65" s="581" t="s">
        <v>584</v>
      </c>
      <c r="B65" s="581"/>
      <c r="C65" s="581"/>
      <c r="D65" s="581"/>
      <c r="E65" s="581"/>
      <c r="F65" s="581"/>
      <c r="G65" s="581"/>
      <c r="H65" s="581"/>
    </row>
    <row r="66" spans="1:8" ht="14.25">
      <c r="A66" s="577"/>
      <c r="B66" s="582" t="s">
        <v>585</v>
      </c>
      <c r="C66" s="582"/>
      <c r="D66" s="582"/>
      <c r="E66" s="582"/>
      <c r="F66" s="582"/>
      <c r="G66" s="584"/>
      <c r="H66" s="584"/>
    </row>
    <row r="67" spans="1:8" ht="14.25">
      <c r="A67" s="577"/>
      <c r="B67" s="582" t="s">
        <v>586</v>
      </c>
      <c r="C67" s="582"/>
      <c r="D67" s="582"/>
      <c r="E67" s="582"/>
      <c r="F67" s="582"/>
      <c r="G67" s="584"/>
      <c r="H67" s="584"/>
    </row>
    <row r="68" spans="1:8" ht="14.25">
      <c r="A68" s="577"/>
      <c r="B68" s="582" t="s">
        <v>587</v>
      </c>
      <c r="C68" s="582"/>
      <c r="D68" s="582"/>
      <c r="E68" s="582"/>
      <c r="F68" s="582"/>
      <c r="G68" s="584"/>
      <c r="H68" s="584"/>
    </row>
    <row r="69" spans="1:8" ht="14.25">
      <c r="A69" s="577"/>
      <c r="B69" s="582" t="s">
        <v>588</v>
      </c>
      <c r="C69" s="582"/>
      <c r="D69" s="582"/>
      <c r="E69" s="582"/>
      <c r="F69" s="582"/>
      <c r="G69" s="584"/>
      <c r="H69" s="584"/>
    </row>
    <row r="70" spans="1:8" ht="14.25">
      <c r="A70" s="577"/>
      <c r="B70" s="582" t="s">
        <v>589</v>
      </c>
      <c r="C70" s="582"/>
      <c r="D70" s="582"/>
      <c r="E70" s="582"/>
      <c r="F70" s="582"/>
      <c r="G70" s="584"/>
      <c r="H70" s="584"/>
    </row>
    <row r="71" spans="1:8" ht="14.25">
      <c r="A71" s="577"/>
      <c r="B71" s="582" t="s">
        <v>590</v>
      </c>
      <c r="C71" s="582"/>
      <c r="D71" s="582"/>
      <c r="E71" s="582"/>
      <c r="F71" s="582"/>
      <c r="G71" s="584"/>
      <c r="H71" s="584"/>
    </row>
    <row r="72" spans="1:2" ht="12.75">
      <c r="A72" s="577"/>
      <c r="B72" s="577"/>
    </row>
    <row r="73" spans="1:8" ht="12.75">
      <c r="A73" s="595" t="s">
        <v>591</v>
      </c>
      <c r="B73" s="577"/>
      <c r="C73" s="577"/>
      <c r="D73" s="577"/>
      <c r="E73" s="577"/>
      <c r="F73" s="596"/>
      <c r="G73" s="584"/>
      <c r="H73" s="584"/>
    </row>
    <row r="74" spans="1:8" ht="12.75">
      <c r="A74" s="595" t="s">
        <v>592</v>
      </c>
      <c r="B74" s="577"/>
      <c r="C74" s="577"/>
      <c r="D74" s="577"/>
      <c r="E74" s="577"/>
      <c r="F74" s="596"/>
      <c r="G74" s="584"/>
      <c r="H74" s="584"/>
    </row>
    <row r="75" spans="1:8" ht="12.75">
      <c r="A75" s="602" t="s">
        <v>593</v>
      </c>
      <c r="B75" s="602"/>
      <c r="C75" s="602"/>
      <c r="D75" s="602"/>
      <c r="E75" s="602"/>
      <c r="F75" s="596"/>
      <c r="G75" s="584"/>
      <c r="H75" s="584"/>
    </row>
    <row r="76" spans="1:8" ht="12.75">
      <c r="A76" s="577"/>
      <c r="B76" s="577"/>
      <c r="C76" s="577"/>
      <c r="D76" s="577"/>
      <c r="E76" s="577"/>
      <c r="F76" s="577"/>
      <c r="G76" s="577"/>
      <c r="H76" s="577"/>
    </row>
    <row r="77" spans="1:8" ht="12.75">
      <c r="A77" s="577"/>
      <c r="B77" s="577"/>
      <c r="C77" s="577"/>
      <c r="D77" s="577"/>
      <c r="E77" s="577"/>
      <c r="F77" s="577"/>
      <c r="G77" s="577"/>
      <c r="H77" s="577"/>
    </row>
    <row r="78" spans="1:11" ht="14.25">
      <c r="A78" s="595" t="s">
        <v>594</v>
      </c>
      <c r="B78" s="577"/>
      <c r="C78" s="577"/>
      <c r="D78" s="577"/>
      <c r="E78" s="577"/>
      <c r="F78" s="577"/>
      <c r="G78" s="577"/>
      <c r="H78" s="577"/>
      <c r="K78" s="600" t="s">
        <v>595</v>
      </c>
    </row>
    <row r="79" spans="1:11" ht="20.25" customHeight="1">
      <c r="A79" s="603" t="s">
        <v>596</v>
      </c>
      <c r="B79" s="603"/>
      <c r="C79" s="603"/>
      <c r="D79" s="603"/>
      <c r="E79" s="603"/>
      <c r="F79" s="603"/>
      <c r="G79" s="591"/>
      <c r="H79" s="591"/>
      <c r="K79" s="600" t="s">
        <v>597</v>
      </c>
    </row>
    <row r="80" spans="1:11" ht="14.25" customHeight="1">
      <c r="A80" s="603" t="s">
        <v>598</v>
      </c>
      <c r="B80" s="603"/>
      <c r="C80" s="603"/>
      <c r="D80" s="603"/>
      <c r="E80" s="603"/>
      <c r="F80" s="603"/>
      <c r="G80" s="591"/>
      <c r="H80" s="591"/>
      <c r="K80" s="600" t="s">
        <v>599</v>
      </c>
    </row>
    <row r="81" spans="1:11" ht="14.25" customHeight="1">
      <c r="A81" s="603" t="s">
        <v>600</v>
      </c>
      <c r="B81" s="603"/>
      <c r="C81" s="603"/>
      <c r="D81" s="603"/>
      <c r="E81" s="603"/>
      <c r="F81" s="603"/>
      <c r="G81" s="591"/>
      <c r="H81" s="591"/>
      <c r="K81" s="600" t="s">
        <v>601</v>
      </c>
    </row>
    <row r="82" spans="1:11" ht="14.25" customHeight="1">
      <c r="A82" s="603" t="s">
        <v>602</v>
      </c>
      <c r="B82" s="603"/>
      <c r="C82" s="603"/>
      <c r="D82" s="603"/>
      <c r="E82" s="603"/>
      <c r="F82" s="603"/>
      <c r="G82" s="591"/>
      <c r="H82" s="591"/>
      <c r="K82" s="600" t="s">
        <v>603</v>
      </c>
    </row>
    <row r="83" spans="1:11" ht="14.25" customHeight="1">
      <c r="A83" s="603" t="s">
        <v>604</v>
      </c>
      <c r="B83" s="603"/>
      <c r="C83" s="603"/>
      <c r="D83" s="603"/>
      <c r="E83" s="603"/>
      <c r="F83" s="603"/>
      <c r="G83" s="591"/>
      <c r="H83" s="591"/>
      <c r="K83" s="600" t="s">
        <v>605</v>
      </c>
    </row>
  </sheetData>
  <sheetProtection selectLockedCells="1" selectUnlockedCells="1"/>
  <mergeCells count="114">
    <mergeCell ref="G3:H3"/>
    <mergeCell ref="G5:H5"/>
    <mergeCell ref="A7:H7"/>
    <mergeCell ref="A8:B8"/>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A18:F18"/>
    <mergeCell ref="G18:H18"/>
    <mergeCell ref="A20:C20"/>
    <mergeCell ref="B21:E21"/>
    <mergeCell ref="F21:H21"/>
    <mergeCell ref="B22:E22"/>
    <mergeCell ref="F22:H22"/>
    <mergeCell ref="B23:E23"/>
    <mergeCell ref="F23:H23"/>
    <mergeCell ref="B24:E24"/>
    <mergeCell ref="F24:H24"/>
    <mergeCell ref="B25:E25"/>
    <mergeCell ref="F25:H25"/>
    <mergeCell ref="A29:E29"/>
    <mergeCell ref="F29:H29"/>
    <mergeCell ref="G31:H31"/>
    <mergeCell ref="C32:H32"/>
    <mergeCell ref="A33:F33"/>
    <mergeCell ref="G33:H33"/>
    <mergeCell ref="A35:H35"/>
    <mergeCell ref="A36:B36"/>
    <mergeCell ref="C36:F36"/>
    <mergeCell ref="G36:H36"/>
    <mergeCell ref="C37:F37"/>
    <mergeCell ref="G37:H37"/>
    <mergeCell ref="C38:F38"/>
    <mergeCell ref="G38:H38"/>
    <mergeCell ref="C39:F39"/>
    <mergeCell ref="G39:H39"/>
    <mergeCell ref="C40:F40"/>
    <mergeCell ref="G40:H40"/>
    <mergeCell ref="C41:F41"/>
    <mergeCell ref="G41:H41"/>
    <mergeCell ref="A43:H43"/>
    <mergeCell ref="A44:B44"/>
    <mergeCell ref="C44:F44"/>
    <mergeCell ref="G44:H44"/>
    <mergeCell ref="C45:F45"/>
    <mergeCell ref="G45:H45"/>
    <mergeCell ref="C46:F46"/>
    <mergeCell ref="G46:H46"/>
    <mergeCell ref="C47:F47"/>
    <mergeCell ref="G47:H47"/>
    <mergeCell ref="C48:F48"/>
    <mergeCell ref="G48:H48"/>
    <mergeCell ref="C49:F49"/>
    <mergeCell ref="G49:H49"/>
    <mergeCell ref="C50:F50"/>
    <mergeCell ref="G50:H50"/>
    <mergeCell ref="C51:F51"/>
    <mergeCell ref="G51:H51"/>
    <mergeCell ref="A53:H53"/>
    <mergeCell ref="A54:B54"/>
    <mergeCell ref="D54:F54"/>
    <mergeCell ref="G54:H54"/>
    <mergeCell ref="D55:F55"/>
    <mergeCell ref="G55:H55"/>
    <mergeCell ref="D56:F56"/>
    <mergeCell ref="G56:H56"/>
    <mergeCell ref="D57:F57"/>
    <mergeCell ref="G57:H57"/>
    <mergeCell ref="E60:H60"/>
    <mergeCell ref="E61:H61"/>
    <mergeCell ref="E62:H62"/>
    <mergeCell ref="E63:H63"/>
    <mergeCell ref="A65:H65"/>
    <mergeCell ref="B66:F66"/>
    <mergeCell ref="G66:H66"/>
    <mergeCell ref="B67:F67"/>
    <mergeCell ref="G67:H67"/>
    <mergeCell ref="B68:F68"/>
    <mergeCell ref="G68:H68"/>
    <mergeCell ref="B69:F69"/>
    <mergeCell ref="G69:H69"/>
    <mergeCell ref="B70:F70"/>
    <mergeCell ref="G70:H70"/>
    <mergeCell ref="B71:F71"/>
    <mergeCell ref="G71:H71"/>
    <mergeCell ref="G73:H73"/>
    <mergeCell ref="G74:H74"/>
    <mergeCell ref="A75:E75"/>
    <mergeCell ref="G75:H75"/>
    <mergeCell ref="A79:F79"/>
    <mergeCell ref="G79:H79"/>
    <mergeCell ref="A80:F80"/>
    <mergeCell ref="G80:H80"/>
    <mergeCell ref="A81:F81"/>
    <mergeCell ref="G81:H81"/>
    <mergeCell ref="A82:F82"/>
    <mergeCell ref="G82:H82"/>
    <mergeCell ref="A83:F83"/>
    <mergeCell ref="G83:H83"/>
  </mergeCells>
  <dataValidations count="8">
    <dataValidation type="list" operator="equal" allowBlank="1" showErrorMessage="1" sqref="E60:H63">
      <formula1>'health&amp;other'!$K$58:$K$64</formula1>
    </dataValidation>
    <dataValidation type="list" operator="equal" allowBlank="1" showErrorMessage="1" sqref="F21:H25">
      <formula1>'health&amp;other'!$K$20:$K$25</formula1>
    </dataValidation>
    <dataValidation type="list" operator="equal" allowBlank="1" showErrorMessage="1" sqref="F29">
      <formula1>'health&amp;other'!$K$27:$K$32</formula1>
    </dataValidation>
    <dataValidation type="list" allowBlank="1" showErrorMessage="1" sqref="G3">
      <formula1>$K$3:$K$10</formula1>
      <formula2>0</formula2>
    </dataValidation>
    <dataValidation type="list" allowBlank="1" showErrorMessage="1" sqref="G5:H5">
      <formula1>$M$3:$M$6</formula1>
      <formula2>0</formula2>
    </dataValidation>
    <dataValidation type="list" allowBlank="1" showErrorMessage="1" sqref="G8:H16 G31:H31 G33:H33 G36:H41 G44:H51 G54:H57 G66:H71 G73:H75">
      <formula1>$M$3:$M$4</formula1>
      <formula2>0</formula2>
    </dataValidation>
    <dataValidation type="list" allowBlank="1" showErrorMessage="1" sqref="G18:H18">
      <formula1>$O$3:$O$8</formula1>
      <formula2>0</formula2>
    </dataValidation>
    <dataValidation type="list" operator="equal" allowBlank="1" showErrorMessage="1" sqref="G79:H83">
      <formula1>'health&amp;other'!$K$78:$K$83</formula1>
    </dataValidation>
  </dataValidations>
  <printOptions/>
  <pageMargins left="0.7875" right="0.7875" top="1.0527777777777778" bottom="1.0527777777777778" header="0.7875" footer="0.7875"/>
  <pageSetup horizontalDpi="300" verticalDpi="300" orientation="portrait" paperSize="9"/>
  <headerFooter alignWithMargins="0">
    <oddHeader>&amp;C&amp;"Times New Roman,Navadno"&amp;12&amp;A</oddHeader>
    <oddFooter>&amp;C&amp;"Times New Roman,Navadno"&amp;12Stran &amp;P</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I42"/>
  <sheetViews>
    <sheetView workbookViewId="0" topLeftCell="A1">
      <selection activeCell="B19" sqref="B19"/>
    </sheetView>
  </sheetViews>
  <sheetFormatPr defaultColWidth="9.140625" defaultRowHeight="9" customHeight="1"/>
  <cols>
    <col min="1" max="1" width="36.57421875" style="0" customWidth="1"/>
    <col min="2" max="2" width="8.140625" style="0" customWidth="1"/>
    <col min="3" max="3" width="8.421875" style="0" customWidth="1"/>
    <col min="4" max="4" width="7.421875" style="0" customWidth="1"/>
    <col min="5" max="5" width="5.421875" style="0" customWidth="1"/>
    <col min="6" max="6" width="6.28125" style="0" customWidth="1"/>
    <col min="7" max="7" width="7.140625" style="0" customWidth="1"/>
    <col min="8" max="8" width="6.140625" style="0" customWidth="1"/>
    <col min="9" max="9" width="6.57421875" style="0" customWidth="1"/>
    <col min="10" max="10" width="5.57421875" style="0" customWidth="1"/>
    <col min="11" max="11" width="5.8515625" style="0" customWidth="1"/>
    <col min="12" max="13" width="5.28125" style="0" customWidth="1"/>
    <col min="14" max="14" width="5.421875" style="0" customWidth="1"/>
    <col min="15" max="15" width="6.00390625" style="0" customWidth="1"/>
    <col min="16" max="16" width="6.7109375" style="0" customWidth="1"/>
    <col min="17" max="17" width="5.421875" style="0" customWidth="1"/>
    <col min="18" max="18" width="4.7109375" style="0" customWidth="1"/>
    <col min="19" max="19" width="6.28125" style="0" customWidth="1"/>
    <col min="20" max="20" width="5.00390625" style="0" customWidth="1"/>
    <col min="21" max="21" width="5.8515625" style="0" customWidth="1"/>
    <col min="22" max="22" width="5.421875" style="0" customWidth="1"/>
    <col min="23" max="23" width="7.00390625" style="0" customWidth="1"/>
    <col min="24" max="24" width="7.140625" style="0" customWidth="1"/>
    <col min="25" max="25" width="8.140625" style="0" customWidth="1"/>
    <col min="26" max="26" width="7.28125" style="0" customWidth="1"/>
    <col min="27" max="27" width="7.00390625" style="0" customWidth="1"/>
    <col min="28" max="28" width="8.00390625" style="0" customWidth="1"/>
    <col min="29" max="29" width="7.00390625" style="0" customWidth="1"/>
    <col min="30" max="30" width="7.28125" style="0" customWidth="1"/>
    <col min="31" max="31" width="8.140625" style="0" customWidth="1"/>
    <col min="32" max="32" width="8.00390625" style="0" customWidth="1"/>
    <col min="33" max="33" width="7.8515625" style="0" customWidth="1"/>
    <col min="34" max="34" width="8.140625" style="0" customWidth="1"/>
    <col min="35" max="35" width="6.7109375" style="0" customWidth="1"/>
    <col min="36" max="16384" width="10.7109375" style="0" customWidth="1"/>
  </cols>
  <sheetData>
    <row r="1" spans="4:26" s="1" customFormat="1" ht="44.25" customHeight="1">
      <c r="D1" s="604" t="s">
        <v>0</v>
      </c>
      <c r="E1" s="2"/>
      <c r="F1" s="2"/>
      <c r="G1" s="2"/>
      <c r="H1" s="2"/>
      <c r="I1" s="2"/>
      <c r="J1" s="2"/>
      <c r="K1" s="2"/>
      <c r="L1" s="2"/>
      <c r="M1" s="2"/>
      <c r="N1" s="2"/>
      <c r="O1" s="2"/>
      <c r="P1" s="2"/>
      <c r="Q1" s="2"/>
      <c r="R1" s="2"/>
      <c r="S1" s="2"/>
      <c r="T1" s="2"/>
      <c r="U1" s="2"/>
      <c r="V1" s="2"/>
      <c r="W1" s="312"/>
      <c r="X1" s="312"/>
      <c r="Y1" s="312"/>
      <c r="Z1" s="312"/>
    </row>
    <row r="2" spans="1:32" ht="10.5" customHeight="1">
      <c r="A2" s="1"/>
      <c r="B2" s="1"/>
      <c r="C2" s="1"/>
      <c r="D2" s="2"/>
      <c r="E2" s="2"/>
      <c r="F2" s="2"/>
      <c r="G2" s="44"/>
      <c r="H2" s="44"/>
      <c r="I2" s="44"/>
      <c r="J2" s="44"/>
      <c r="K2" s="44"/>
      <c r="L2" s="44"/>
      <c r="M2" s="44"/>
      <c r="N2" s="44"/>
      <c r="O2" s="44"/>
      <c r="P2" s="44"/>
      <c r="Q2" s="44"/>
      <c r="R2" s="605"/>
      <c r="S2" s="605"/>
      <c r="T2" s="605"/>
      <c r="U2" s="605"/>
      <c r="V2" s="605"/>
      <c r="W2" s="605"/>
      <c r="X2" s="605"/>
      <c r="Y2" s="605"/>
      <c r="Z2" s="605"/>
      <c r="AA2" s="439"/>
      <c r="AB2" s="439"/>
      <c r="AC2" s="439"/>
      <c r="AD2" s="439"/>
      <c r="AE2" s="439"/>
      <c r="AF2" s="439"/>
    </row>
    <row r="3" spans="1:32" ht="18.75" customHeight="1">
      <c r="A3" s="53" t="s">
        <v>606</v>
      </c>
      <c r="B3" s="606"/>
      <c r="H3" s="2"/>
      <c r="I3" s="2"/>
      <c r="J3" s="2"/>
      <c r="K3" s="2"/>
      <c r="L3" s="2"/>
      <c r="M3" s="2"/>
      <c r="N3" s="2"/>
      <c r="O3" s="2"/>
      <c r="P3" s="2"/>
      <c r="Q3" s="2"/>
      <c r="R3" s="2"/>
      <c r="S3" s="2"/>
      <c r="T3" s="2"/>
      <c r="U3" s="2"/>
      <c r="V3" s="2"/>
      <c r="W3" s="2"/>
      <c r="X3" s="2"/>
      <c r="Y3" s="2"/>
      <c r="Z3" s="607" t="s">
        <v>607</v>
      </c>
      <c r="AA3" s="607"/>
      <c r="AB3" s="607"/>
      <c r="AC3" s="607"/>
      <c r="AD3" s="607"/>
      <c r="AE3" s="607"/>
      <c r="AF3" s="607"/>
    </row>
    <row r="4" spans="2:32" ht="12" customHeight="1">
      <c r="B4" s="46" t="s">
        <v>31</v>
      </c>
      <c r="C4" s="147">
        <f>'household+building'!Q3</f>
        <v>0</v>
      </c>
      <c r="D4" s="147"/>
      <c r="F4" s="608"/>
      <c r="H4" s="608"/>
      <c r="R4" s="609"/>
      <c r="S4" s="609"/>
      <c r="Z4" s="610"/>
      <c r="AD4" s="611" t="s">
        <v>608</v>
      </c>
      <c r="AE4" s="114">
        <f>'data price+co2+consumption'!J19*O38</f>
        <v>0</v>
      </c>
      <c r="AF4" s="612" t="s">
        <v>147</v>
      </c>
    </row>
    <row r="5" spans="26:32" ht="9" customHeight="1">
      <c r="Z5" s="610"/>
      <c r="AD5" s="611" t="s">
        <v>609</v>
      </c>
      <c r="AE5" s="613">
        <f>T38*O10</f>
        <v>0</v>
      </c>
      <c r="AF5" s="612" t="s">
        <v>147</v>
      </c>
    </row>
    <row r="6" spans="5:32" ht="12" customHeight="1">
      <c r="E6" s="614" t="s">
        <v>610</v>
      </c>
      <c r="F6" s="614"/>
      <c r="R6" s="615" t="s">
        <v>611</v>
      </c>
      <c r="S6" s="615"/>
      <c r="T6" s="615"/>
      <c r="U6" s="615"/>
      <c r="V6" s="615"/>
      <c r="W6" s="615"/>
      <c r="X6" s="615"/>
      <c r="Z6" s="616"/>
      <c r="AA6" s="617"/>
      <c r="AB6" s="617"/>
      <c r="AC6" s="617"/>
      <c r="AD6" s="618" t="s">
        <v>612</v>
      </c>
      <c r="AE6" s="613">
        <f>AE4+AE5</f>
        <v>0</v>
      </c>
      <c r="AF6" s="619" t="s">
        <v>147</v>
      </c>
    </row>
    <row r="7" spans="3:32" ht="12" customHeight="1">
      <c r="C7" s="73" t="s">
        <v>613</v>
      </c>
      <c r="D7" s="620">
        <f>'household+building'!J42</f>
        <v>0</v>
      </c>
      <c r="E7" s="620">
        <f>report!F38</f>
        <v>0</v>
      </c>
      <c r="F7" s="620"/>
      <c r="K7" s="621"/>
      <c r="R7" s="610"/>
      <c r="V7" s="611" t="s">
        <v>608</v>
      </c>
      <c r="W7" s="114">
        <f>'data price+co2+consumption'!J19*D38</f>
        <v>0</v>
      </c>
      <c r="X7" s="612" t="s">
        <v>147</v>
      </c>
      <c r="Z7" s="102"/>
      <c r="AA7" s="102"/>
      <c r="AB7" s="102"/>
      <c r="AC7" s="102"/>
      <c r="AD7" s="102"/>
      <c r="AE7" s="102"/>
      <c r="AF7" s="102"/>
    </row>
    <row r="8" spans="3:24" ht="12" customHeight="1">
      <c r="C8" s="73" t="s">
        <v>614</v>
      </c>
      <c r="D8" s="620">
        <f>IF('household+building'!J66&gt;0,'household+building'!J66,'household+building'!G26*'data price+co2+consumption'!J59)</f>
        <v>0</v>
      </c>
      <c r="E8" s="620">
        <f>report!J38</f>
        <v>0</v>
      </c>
      <c r="F8" s="620"/>
      <c r="H8" s="73" t="s">
        <v>615</v>
      </c>
      <c r="I8" s="620">
        <f>'household+building'!F60</f>
        <v>0</v>
      </c>
      <c r="J8" s="620"/>
      <c r="N8" s="73" t="s">
        <v>616</v>
      </c>
      <c r="O8" s="622">
        <f>'household+building'!P86</f>
        <v>0</v>
      </c>
      <c r="P8" s="622"/>
      <c r="Q8" s="622"/>
      <c r="R8" s="610"/>
      <c r="V8" s="611" t="s">
        <v>609</v>
      </c>
      <c r="W8" s="613">
        <f>I38*O10</f>
        <v>0</v>
      </c>
      <c r="X8" s="612" t="s">
        <v>147</v>
      </c>
    </row>
    <row r="9" spans="3:24" ht="12.75" customHeight="1">
      <c r="C9" s="73" t="s">
        <v>617</v>
      </c>
      <c r="D9" s="620">
        <f>IF('household+building'!J100&gt;0,'household+building'!J100,'data price+co2+consumption'!B90)</f>
        <v>0</v>
      </c>
      <c r="E9" s="620">
        <f>report!N38</f>
        <v>0</v>
      </c>
      <c r="F9" s="620"/>
      <c r="H9" s="73" t="s">
        <v>618</v>
      </c>
      <c r="I9" s="620">
        <f>'household+building'!H82</f>
        <v>0</v>
      </c>
      <c r="J9" s="620"/>
      <c r="N9" s="73" t="s">
        <v>619</v>
      </c>
      <c r="O9" s="622">
        <f>IF(O8='data price+co2+consumption'!B19,'data price+co2+consumption'!C19,IF(O8='data price+co2+consumption'!B20,'data price+co2+consumption'!C20,IF(O8='data price+co2+consumption'!B21,'data price+co2+consumption'!C21,IF(O8='data price+co2+consumption'!B22,'data price+co2+consumption'!C22,IF(O8='data price+co2+consumption'!B23,'data price+co2+consumption'!C23,IF(O8='data price+co2+consumption'!B24,'data price+co2+consumption'!C24,IF(O8='data price+co2+consumption'!B25,'data price+co2+consumption'!C25,'data price+co2+consumption'!E19)))))))</f>
        <v>209</v>
      </c>
      <c r="P9" s="622"/>
      <c r="Q9" s="622"/>
      <c r="R9" s="616"/>
      <c r="S9" s="617"/>
      <c r="T9" s="617"/>
      <c r="U9" s="617"/>
      <c r="V9" s="618" t="s">
        <v>612</v>
      </c>
      <c r="W9" s="613">
        <f>W7+W8</f>
        <v>0</v>
      </c>
      <c r="X9" s="619" t="s">
        <v>147</v>
      </c>
    </row>
    <row r="10" spans="5:17" ht="12.75" customHeight="1">
      <c r="E10" s="62"/>
      <c r="H10" s="623"/>
      <c r="M10" s="624"/>
      <c r="N10" s="625" t="s">
        <v>620</v>
      </c>
      <c r="O10" s="622">
        <f>IF(O8='data price+co2+consumption'!B19,'data price+co2+consumption'!J19,IF(O8='data price+co2+consumption'!B20,'data price+co2+consumption'!J20,IF(O8='data price+co2+consumption'!B21,'data price+co2+consumption'!J21,IF(O8='data price+co2+consumption'!B22,'data price+co2+consumption'!J22,IF(O8='data price+co2+consumption'!B23,'data price+co2+consumption'!J23,IF(O8='data price+co2+consumption'!B24,'data price+co2+consumption'!J24,IF(O8='data price+co2+consumption'!B25,'data price+co2+consumption'!J25,'data price+co2+consumption'!L20)))))))</f>
        <v>1</v>
      </c>
      <c r="P10" s="622"/>
      <c r="Q10" s="622"/>
    </row>
    <row r="11" ht="18" customHeight="1">
      <c r="A11" s="626" t="s">
        <v>621</v>
      </c>
    </row>
    <row r="12" spans="2:35" s="28" customFormat="1" ht="15" customHeight="1">
      <c r="B12" s="627" t="s">
        <v>622</v>
      </c>
      <c r="C12" s="627"/>
      <c r="D12" s="627" t="s">
        <v>623</v>
      </c>
      <c r="E12" s="627"/>
      <c r="F12" s="627"/>
      <c r="G12" s="627"/>
      <c r="H12" s="627"/>
      <c r="I12" s="627"/>
      <c r="J12" s="627"/>
      <c r="K12" s="627"/>
      <c r="L12" s="627"/>
      <c r="M12" s="627"/>
      <c r="N12" s="627"/>
      <c r="O12" s="628" t="s">
        <v>624</v>
      </c>
      <c r="P12" s="628"/>
      <c r="Q12" s="628"/>
      <c r="R12" s="628"/>
      <c r="S12" s="628"/>
      <c r="T12" s="628"/>
      <c r="U12" s="628"/>
      <c r="V12" s="628"/>
      <c r="W12" s="628"/>
      <c r="X12" s="628"/>
      <c r="Y12" s="102"/>
      <c r="Z12" s="102"/>
      <c r="AA12" s="102"/>
      <c r="AB12" s="102"/>
      <c r="AC12" s="102"/>
      <c r="AD12" s="102"/>
      <c r="AE12" s="102"/>
      <c r="AF12" s="102"/>
      <c r="AG12" s="102"/>
      <c r="AH12" s="102"/>
      <c r="AI12" s="102"/>
    </row>
    <row r="13" spans="2:35" s="629" customFormat="1" ht="12" customHeight="1">
      <c r="B13" s="630" t="s">
        <v>625</v>
      </c>
      <c r="C13" s="631" t="s">
        <v>626</v>
      </c>
      <c r="D13" s="632" t="s">
        <v>627</v>
      </c>
      <c r="E13" s="632"/>
      <c r="F13" s="632"/>
      <c r="G13" s="632" t="s">
        <v>575</v>
      </c>
      <c r="H13" s="632"/>
      <c r="I13" s="633" t="s">
        <v>628</v>
      </c>
      <c r="J13" s="633"/>
      <c r="K13" s="633"/>
      <c r="L13" s="634" t="s">
        <v>445</v>
      </c>
      <c r="M13" s="634"/>
      <c r="N13" s="635" t="s">
        <v>629</v>
      </c>
      <c r="O13" s="636" t="s">
        <v>627</v>
      </c>
      <c r="P13" s="636"/>
      <c r="Q13" s="636"/>
      <c r="R13" s="633" t="s">
        <v>575</v>
      </c>
      <c r="S13" s="633"/>
      <c r="T13" s="637" t="s">
        <v>628</v>
      </c>
      <c r="U13" s="637"/>
      <c r="V13" s="637"/>
      <c r="W13" s="638" t="s">
        <v>268</v>
      </c>
      <c r="X13" s="638"/>
      <c r="Y13" s="102"/>
      <c r="Z13" s="102"/>
      <c r="AA13" s="102"/>
      <c r="AB13" s="102"/>
      <c r="AC13" s="102"/>
      <c r="AD13" s="102"/>
      <c r="AE13" s="102"/>
      <c r="AF13" s="102"/>
      <c r="AG13" s="102"/>
      <c r="AH13" s="102"/>
      <c r="AI13" s="102"/>
    </row>
    <row r="14" spans="1:35" s="651" customFormat="1" ht="40.5" customHeight="1">
      <c r="A14" s="639" t="s">
        <v>630</v>
      </c>
      <c r="B14" s="630"/>
      <c r="C14" s="631"/>
      <c r="D14" s="640" t="s">
        <v>147</v>
      </c>
      <c r="E14" s="641" t="s">
        <v>153</v>
      </c>
      <c r="F14" s="642" t="s">
        <v>631</v>
      </c>
      <c r="G14" s="641" t="s">
        <v>373</v>
      </c>
      <c r="H14" s="643" t="s">
        <v>153</v>
      </c>
      <c r="I14" s="644" t="s">
        <v>147</v>
      </c>
      <c r="J14" s="641" t="s">
        <v>153</v>
      </c>
      <c r="K14" s="642" t="s">
        <v>632</v>
      </c>
      <c r="L14" s="645" t="s">
        <v>153</v>
      </c>
      <c r="M14" s="646" t="s">
        <v>632</v>
      </c>
      <c r="N14" s="635"/>
      <c r="O14" s="647" t="s">
        <v>147</v>
      </c>
      <c r="P14" s="647" t="s">
        <v>153</v>
      </c>
      <c r="Q14" s="648" t="s">
        <v>631</v>
      </c>
      <c r="R14" s="644" t="s">
        <v>373</v>
      </c>
      <c r="S14" s="642" t="s">
        <v>153</v>
      </c>
      <c r="T14" s="640" t="s">
        <v>147</v>
      </c>
      <c r="U14" s="641" t="s">
        <v>153</v>
      </c>
      <c r="V14" s="642" t="s">
        <v>632</v>
      </c>
      <c r="W14" s="649" t="s">
        <v>153</v>
      </c>
      <c r="X14" s="650" t="s">
        <v>632</v>
      </c>
      <c r="Y14" s="102"/>
      <c r="Z14"/>
      <c r="AA14"/>
      <c r="AB14"/>
      <c r="AC14"/>
      <c r="AD14"/>
      <c r="AE14"/>
      <c r="AF14"/>
      <c r="AG14"/>
      <c r="AH14"/>
      <c r="AI14"/>
    </row>
    <row r="15" spans="1:35" s="629" customFormat="1" ht="12" customHeight="1">
      <c r="A15" s="652" t="s">
        <v>633</v>
      </c>
      <c r="B15" s="653">
        <f>'light, standby'!L25</f>
        <v>0</v>
      </c>
      <c r="C15" s="654">
        <f>'light, standby'!Q25</f>
        <v>0</v>
      </c>
      <c r="D15" s="653">
        <f>'light, standby'!M25</f>
        <v>0</v>
      </c>
      <c r="E15" s="655">
        <f>D15*'household+building'!$F$38</f>
        <v>0</v>
      </c>
      <c r="F15" s="656">
        <f>D15*'data price+co2+consumption'!$C$19/1000</f>
        <v>0</v>
      </c>
      <c r="G15" s="653">
        <f aca="true" t="shared" si="0" ref="G15:G20">"-"</f>
        <v>0</v>
      </c>
      <c r="H15" s="656">
        <f aca="true" t="shared" si="1" ref="H15:H18">"-"</f>
        <v>0</v>
      </c>
      <c r="I15" s="653">
        <f aca="true" t="shared" si="2" ref="I15:I19">"-"</f>
        <v>0</v>
      </c>
      <c r="J15" s="657">
        <f aca="true" t="shared" si="3" ref="J15:J19">"-"</f>
        <v>0</v>
      </c>
      <c r="K15" s="656">
        <f aca="true" t="shared" si="4" ref="K15:K19">"-"</f>
        <v>0</v>
      </c>
      <c r="L15" s="658">
        <f aca="true" t="shared" si="5" ref="L15:L20">E15</f>
        <v>0</v>
      </c>
      <c r="M15" s="659">
        <f aca="true" t="shared" si="6" ref="M15:M20">F15</f>
        <v>0</v>
      </c>
      <c r="N15" s="660">
        <v>10</v>
      </c>
      <c r="O15" s="657">
        <f aca="true" t="shared" si="7" ref="O15:O20">D15*N15</f>
        <v>0</v>
      </c>
      <c r="P15" s="655">
        <f aca="true" t="shared" si="8" ref="P15:P20">E15*N15</f>
        <v>0</v>
      </c>
      <c r="Q15" s="656">
        <f aca="true" t="shared" si="9" ref="Q15:Q20">F15*N15</f>
        <v>0</v>
      </c>
      <c r="R15" s="657">
        <f aca="true" t="shared" si="10" ref="R15:R20">"-"</f>
        <v>0</v>
      </c>
      <c r="S15" s="656">
        <f aca="true" t="shared" si="11" ref="S15:S20">"-"</f>
        <v>0</v>
      </c>
      <c r="T15" s="657">
        <f aca="true" t="shared" si="12" ref="T15:T20">"-"</f>
        <v>0</v>
      </c>
      <c r="U15" s="657">
        <f aca="true" t="shared" si="13" ref="U15:U20">"-"</f>
        <v>0</v>
      </c>
      <c r="V15" s="656">
        <f aca="true" t="shared" si="14" ref="V15:V20">"-"</f>
        <v>0</v>
      </c>
      <c r="W15" s="658">
        <f aca="true" t="shared" si="15" ref="W15:W20">L15*N15</f>
        <v>0</v>
      </c>
      <c r="X15" s="661">
        <f aca="true" t="shared" si="16" ref="X15:X20">M15*N15</f>
        <v>0</v>
      </c>
      <c r="Y15"/>
      <c r="Z15"/>
      <c r="AA15"/>
      <c r="AB15"/>
      <c r="AC15"/>
      <c r="AD15"/>
      <c r="AE15"/>
      <c r="AF15"/>
      <c r="AG15"/>
      <c r="AH15"/>
      <c r="AI15"/>
    </row>
    <row r="16" spans="1:35" s="629" customFormat="1" ht="12" customHeight="1" hidden="1">
      <c r="A16" s="652"/>
      <c r="B16" s="653">
        <f>'light, standby'!L39</f>
        <v>0</v>
      </c>
      <c r="C16" s="654">
        <f>'light, standby'!Q39</f>
        <v>0</v>
      </c>
      <c r="D16" s="653">
        <f>'light, standby'!M39</f>
        <v>0</v>
      </c>
      <c r="E16" s="655">
        <f>D16*'household+building'!$F$38</f>
        <v>0</v>
      </c>
      <c r="F16" s="656">
        <f>D16*'data price+co2+consumption'!$C$19/1000</f>
        <v>0</v>
      </c>
      <c r="G16" s="653">
        <f t="shared" si="0"/>
        <v>0</v>
      </c>
      <c r="H16" s="656">
        <f t="shared" si="1"/>
        <v>0</v>
      </c>
      <c r="I16" s="653">
        <f t="shared" si="2"/>
        <v>0</v>
      </c>
      <c r="J16" s="657">
        <f t="shared" si="3"/>
        <v>0</v>
      </c>
      <c r="K16" s="656">
        <f t="shared" si="4"/>
        <v>0</v>
      </c>
      <c r="L16" s="658">
        <f t="shared" si="5"/>
        <v>0</v>
      </c>
      <c r="M16" s="659">
        <f t="shared" si="6"/>
        <v>0</v>
      </c>
      <c r="N16" s="660">
        <f>1+0.5*(2016-'household+building'!Q$4-1)</f>
        <v>1008.5</v>
      </c>
      <c r="O16" s="657">
        <f t="shared" si="7"/>
        <v>0</v>
      </c>
      <c r="P16" s="655">
        <f t="shared" si="8"/>
        <v>0</v>
      </c>
      <c r="Q16" s="656">
        <f t="shared" si="9"/>
        <v>0</v>
      </c>
      <c r="R16" s="657">
        <f t="shared" si="10"/>
        <v>0</v>
      </c>
      <c r="S16" s="656">
        <f t="shared" si="11"/>
        <v>0</v>
      </c>
      <c r="T16" s="657">
        <f t="shared" si="12"/>
        <v>0</v>
      </c>
      <c r="U16" s="657">
        <f t="shared" si="13"/>
        <v>0</v>
      </c>
      <c r="V16" s="656">
        <f t="shared" si="14"/>
        <v>0</v>
      </c>
      <c r="W16" s="658">
        <f t="shared" si="15"/>
        <v>0</v>
      </c>
      <c r="X16" s="661">
        <f t="shared" si="16"/>
        <v>0</v>
      </c>
      <c r="Y16"/>
      <c r="Z16"/>
      <c r="AA16"/>
      <c r="AB16"/>
      <c r="AC16"/>
      <c r="AD16"/>
      <c r="AE16"/>
      <c r="AF16"/>
      <c r="AG16"/>
      <c r="AH16"/>
      <c r="AI16"/>
    </row>
    <row r="17" spans="1:35" s="629" customFormat="1" ht="12" customHeight="1" hidden="1">
      <c r="A17" s="652"/>
      <c r="B17" s="653">
        <f>'light, standby'!L53</f>
        <v>0</v>
      </c>
      <c r="C17" s="662">
        <f>'light, standby'!Q53</f>
        <v>0</v>
      </c>
      <c r="D17" s="653">
        <f>'light, standby'!M53</f>
        <v>0</v>
      </c>
      <c r="E17" s="655">
        <f>D17*'household+building'!$F$38</f>
        <v>0</v>
      </c>
      <c r="F17" s="656">
        <f>D17*'data price+co2+consumption'!$C$19/1000</f>
        <v>0</v>
      </c>
      <c r="G17" s="653">
        <f t="shared" si="0"/>
        <v>0</v>
      </c>
      <c r="H17" s="656">
        <f t="shared" si="1"/>
        <v>0</v>
      </c>
      <c r="I17" s="653">
        <f t="shared" si="2"/>
        <v>0</v>
      </c>
      <c r="J17" s="657">
        <f t="shared" si="3"/>
        <v>0</v>
      </c>
      <c r="K17" s="656">
        <f t="shared" si="4"/>
        <v>0</v>
      </c>
      <c r="L17" s="658">
        <f t="shared" si="5"/>
        <v>0</v>
      </c>
      <c r="M17" s="659">
        <f t="shared" si="6"/>
        <v>0</v>
      </c>
      <c r="N17" s="660">
        <f>2016-'household+building'!Q4+1+0.5*(7-(2016-'household+building'!Q4)-1)</f>
        <v>1012</v>
      </c>
      <c r="O17" s="657">
        <f t="shared" si="7"/>
        <v>0</v>
      </c>
      <c r="P17" s="655">
        <f t="shared" si="8"/>
        <v>0</v>
      </c>
      <c r="Q17" s="656">
        <f t="shared" si="9"/>
        <v>0</v>
      </c>
      <c r="R17" s="657">
        <f t="shared" si="10"/>
        <v>0</v>
      </c>
      <c r="S17" s="656">
        <f t="shared" si="11"/>
        <v>0</v>
      </c>
      <c r="T17" s="657">
        <f t="shared" si="12"/>
        <v>0</v>
      </c>
      <c r="U17" s="657">
        <f t="shared" si="13"/>
        <v>0</v>
      </c>
      <c r="V17" s="657">
        <f t="shared" si="14"/>
        <v>0</v>
      </c>
      <c r="W17" s="658">
        <f t="shared" si="15"/>
        <v>0</v>
      </c>
      <c r="X17" s="661">
        <f t="shared" si="16"/>
        <v>0</v>
      </c>
      <c r="Y17"/>
      <c r="Z17"/>
      <c r="AA17"/>
      <c r="AB17"/>
      <c r="AC17"/>
      <c r="AD17"/>
      <c r="AE17"/>
      <c r="AF17"/>
      <c r="AG17"/>
      <c r="AH17"/>
      <c r="AI17"/>
    </row>
    <row r="18" spans="1:35" s="629" customFormat="1" ht="12" customHeight="1" hidden="1">
      <c r="A18" s="652"/>
      <c r="B18" s="653">
        <f>'light, standby'!L67</f>
        <v>0</v>
      </c>
      <c r="C18" s="662">
        <f>'light, standby'!Q67</f>
        <v>0</v>
      </c>
      <c r="D18" s="653">
        <f>'light, standby'!M67</f>
        <v>0</v>
      </c>
      <c r="E18" s="655">
        <f>'light, standby'!O67</f>
        <v>0</v>
      </c>
      <c r="F18" s="656">
        <f>D18*'data price+co2+consumption'!$C$19/1000</f>
        <v>0</v>
      </c>
      <c r="G18" s="653">
        <f t="shared" si="0"/>
        <v>0</v>
      </c>
      <c r="H18" s="656">
        <f t="shared" si="1"/>
        <v>0</v>
      </c>
      <c r="I18" s="653">
        <f t="shared" si="2"/>
        <v>0</v>
      </c>
      <c r="J18" s="657">
        <f t="shared" si="3"/>
        <v>0</v>
      </c>
      <c r="K18" s="656">
        <f t="shared" si="4"/>
        <v>0</v>
      </c>
      <c r="L18" s="658">
        <f t="shared" si="5"/>
        <v>0</v>
      </c>
      <c r="M18" s="659">
        <f t="shared" si="6"/>
        <v>0</v>
      </c>
      <c r="N18" s="660">
        <v>15</v>
      </c>
      <c r="O18" s="657">
        <f t="shared" si="7"/>
        <v>0</v>
      </c>
      <c r="P18" s="655">
        <f t="shared" si="8"/>
        <v>0</v>
      </c>
      <c r="Q18" s="656">
        <f t="shared" si="9"/>
        <v>0</v>
      </c>
      <c r="R18" s="657">
        <f t="shared" si="10"/>
        <v>0</v>
      </c>
      <c r="S18" s="656">
        <f t="shared" si="11"/>
        <v>0</v>
      </c>
      <c r="T18" s="657">
        <f t="shared" si="12"/>
        <v>0</v>
      </c>
      <c r="U18" s="657">
        <f t="shared" si="13"/>
        <v>0</v>
      </c>
      <c r="V18" s="657">
        <f t="shared" si="14"/>
        <v>0</v>
      </c>
      <c r="W18" s="658">
        <f t="shared" si="15"/>
        <v>0</v>
      </c>
      <c r="X18" s="661">
        <f t="shared" si="16"/>
        <v>0</v>
      </c>
      <c r="Y18"/>
      <c r="Z18"/>
      <c r="AA18"/>
      <c r="AB18"/>
      <c r="AC18"/>
      <c r="AD18"/>
      <c r="AE18"/>
      <c r="AF18"/>
      <c r="AG18"/>
      <c r="AH18"/>
      <c r="AI18"/>
    </row>
    <row r="19" spans="1:35" s="629" customFormat="1" ht="12" customHeight="1">
      <c r="A19" s="652" t="s">
        <v>634</v>
      </c>
      <c r="B19" s="663">
        <f>IF('light, standby'!H89='light, standby'!X100,0,1)+IF('light, standby'!X100='light, standby'!X100,0,1)+IF('light, standby'!H111='light, standby'!X100,0,1)</f>
        <v>0</v>
      </c>
      <c r="C19" s="662">
        <f>'light, standby'!Q95+'light, standby'!Q106+'light, standby'!Q117</f>
        <v>0</v>
      </c>
      <c r="D19" s="653">
        <f>'light, standby'!M95+'light, standby'!M106+'light, standby'!M117</f>
        <v>0</v>
      </c>
      <c r="E19" s="655">
        <f>D19*'household+building'!$F$38</f>
        <v>0</v>
      </c>
      <c r="F19" s="656">
        <f>D19*'data price+co2+consumption'!$C$19/1000</f>
        <v>0</v>
      </c>
      <c r="G19" s="653">
        <f t="shared" si="0"/>
        <v>0</v>
      </c>
      <c r="H19" s="656"/>
      <c r="I19" s="657">
        <f t="shared" si="2"/>
        <v>0</v>
      </c>
      <c r="J19" s="657">
        <f t="shared" si="3"/>
        <v>0</v>
      </c>
      <c r="K19" s="657">
        <f t="shared" si="4"/>
        <v>0</v>
      </c>
      <c r="L19" s="658">
        <f t="shared" si="5"/>
        <v>0</v>
      </c>
      <c r="M19" s="659">
        <f t="shared" si="6"/>
        <v>0</v>
      </c>
      <c r="N19" s="660">
        <v>7</v>
      </c>
      <c r="O19" s="657">
        <f t="shared" si="7"/>
        <v>0</v>
      </c>
      <c r="P19" s="655">
        <f t="shared" si="8"/>
        <v>0</v>
      </c>
      <c r="Q19" s="656">
        <f t="shared" si="9"/>
        <v>0</v>
      </c>
      <c r="R19" s="664">
        <f t="shared" si="10"/>
        <v>0</v>
      </c>
      <c r="S19" s="656">
        <f t="shared" si="11"/>
        <v>0</v>
      </c>
      <c r="T19" s="657">
        <f t="shared" si="12"/>
        <v>0</v>
      </c>
      <c r="U19" s="657">
        <f t="shared" si="13"/>
        <v>0</v>
      </c>
      <c r="V19" s="657">
        <f t="shared" si="14"/>
        <v>0</v>
      </c>
      <c r="W19" s="658">
        <f t="shared" si="15"/>
        <v>0</v>
      </c>
      <c r="X19" s="661">
        <f t="shared" si="16"/>
        <v>0</v>
      </c>
      <c r="Y19"/>
      <c r="Z19"/>
      <c r="AA19"/>
      <c r="AB19"/>
      <c r="AC19"/>
      <c r="AD19"/>
      <c r="AE19"/>
      <c r="AF19"/>
      <c r="AG19"/>
      <c r="AH19"/>
      <c r="AI19"/>
    </row>
    <row r="20" spans="1:35" s="629" customFormat="1" ht="12" customHeight="1" hidden="1">
      <c r="A20" s="652"/>
      <c r="B20" s="663">
        <f>IF('light, standby'!H136='light, standby'!X132,0,1)+IF('light, standby'!H137='light, standby'!X132,0,1)+IF('light, standby'!H138='light, standby'!X132,0,1)</f>
        <v>0</v>
      </c>
      <c r="C20" s="662">
        <f>'light, standby'!Q139</f>
        <v>0</v>
      </c>
      <c r="D20" s="653">
        <f>'light, standby'!M139</f>
        <v>0</v>
      </c>
      <c r="E20" s="655">
        <f>D20*'household+building'!$F$38</f>
        <v>0</v>
      </c>
      <c r="F20" s="656">
        <f>D20*'data price+co2+consumption'!$C$19/1000</f>
        <v>0</v>
      </c>
      <c r="G20" s="653">
        <f t="shared" si="0"/>
        <v>0</v>
      </c>
      <c r="H20" s="656"/>
      <c r="I20" s="665"/>
      <c r="J20" s="665"/>
      <c r="K20" s="657"/>
      <c r="L20" s="658">
        <f t="shared" si="5"/>
        <v>0</v>
      </c>
      <c r="M20" s="659">
        <f t="shared" si="6"/>
        <v>0</v>
      </c>
      <c r="N20" s="660">
        <v>10</v>
      </c>
      <c r="O20" s="657">
        <f t="shared" si="7"/>
        <v>0</v>
      </c>
      <c r="P20" s="655">
        <f t="shared" si="8"/>
        <v>0</v>
      </c>
      <c r="Q20" s="656">
        <f t="shared" si="9"/>
        <v>0</v>
      </c>
      <c r="R20" s="664">
        <f t="shared" si="10"/>
        <v>0</v>
      </c>
      <c r="S20" s="656">
        <f t="shared" si="11"/>
        <v>0</v>
      </c>
      <c r="T20" s="657">
        <f t="shared" si="12"/>
        <v>0</v>
      </c>
      <c r="U20" s="657">
        <f t="shared" si="13"/>
        <v>0</v>
      </c>
      <c r="V20" s="657">
        <f t="shared" si="14"/>
        <v>0</v>
      </c>
      <c r="W20" s="658">
        <f t="shared" si="15"/>
        <v>0</v>
      </c>
      <c r="X20" s="661">
        <f t="shared" si="16"/>
        <v>0</v>
      </c>
      <c r="Y20"/>
      <c r="Z20"/>
      <c r="AA20"/>
      <c r="AB20"/>
      <c r="AC20"/>
      <c r="AD20"/>
      <c r="AE20"/>
      <c r="AF20"/>
      <c r="AG20"/>
      <c r="AH20"/>
      <c r="AI20"/>
    </row>
    <row r="21" spans="1:35" s="629" customFormat="1" ht="12" customHeight="1">
      <c r="A21" s="652"/>
      <c r="B21" s="666"/>
      <c r="C21" s="662"/>
      <c r="D21" s="653"/>
      <c r="E21" s="655"/>
      <c r="F21" s="656"/>
      <c r="G21" s="653"/>
      <c r="H21" s="656"/>
      <c r="I21" s="665"/>
      <c r="J21" s="665"/>
      <c r="K21" s="657"/>
      <c r="L21" s="667"/>
      <c r="M21" s="659"/>
      <c r="N21" s="660"/>
      <c r="O21" s="657"/>
      <c r="P21" s="655"/>
      <c r="Q21" s="656"/>
      <c r="R21" s="668"/>
      <c r="S21" s="668"/>
      <c r="T21" s="666"/>
      <c r="U21" s="657"/>
      <c r="V21" s="665"/>
      <c r="W21" s="658"/>
      <c r="X21" s="661"/>
      <c r="Y21"/>
      <c r="Z21"/>
      <c r="AA21"/>
      <c r="AB21"/>
      <c r="AC21"/>
      <c r="AD21"/>
      <c r="AE21"/>
      <c r="AF21"/>
      <c r="AG21"/>
      <c r="AH21"/>
      <c r="AI21"/>
    </row>
    <row r="22" spans="1:35" s="629" customFormat="1" ht="12" customHeight="1" hidden="1">
      <c r="A22" s="652"/>
      <c r="B22" s="666">
        <f>IF('water savings'!H16='water savings'!X15,0,1)+IF('water savings'!H17='water savings'!X15,0,1)+IF('water savings'!H18='water savings'!X15,0,1)</f>
        <v>0</v>
      </c>
      <c r="C22" s="662">
        <f>'water savings'!Q19</f>
        <v>0</v>
      </c>
      <c r="D22" s="653">
        <f>"-"</f>
        <v>0</v>
      </c>
      <c r="E22" s="655"/>
      <c r="F22" s="656">
        <f>"-"</f>
        <v>0</v>
      </c>
      <c r="G22" s="669">
        <f>'water savings'!M19</f>
        <v>0</v>
      </c>
      <c r="H22" s="670">
        <f>G22*'household+building'!$F$62</f>
        <v>0</v>
      </c>
      <c r="I22" s="657">
        <f>"-"</f>
        <v>0</v>
      </c>
      <c r="J22" s="657">
        <f>"-"</f>
        <v>0</v>
      </c>
      <c r="K22" s="657">
        <f>"-"</f>
        <v>0</v>
      </c>
      <c r="L22" s="658">
        <f>H22</f>
        <v>0</v>
      </c>
      <c r="M22" s="659">
        <f>"-"</f>
        <v>0</v>
      </c>
      <c r="N22" s="660">
        <v>10</v>
      </c>
      <c r="O22" s="657">
        <f>"-"</f>
        <v>0</v>
      </c>
      <c r="P22" s="657">
        <f>"-"</f>
        <v>0</v>
      </c>
      <c r="Q22" s="656">
        <f>"-"</f>
        <v>0</v>
      </c>
      <c r="R22" s="664">
        <f aca="true" t="shared" si="17" ref="R22:R24">G22*N22</f>
        <v>0</v>
      </c>
      <c r="S22" s="655">
        <f aca="true" t="shared" si="18" ref="S22:S24">H22*N22</f>
        <v>0</v>
      </c>
      <c r="T22" s="653">
        <f>"-"</f>
        <v>0</v>
      </c>
      <c r="U22" s="657">
        <f>"-"</f>
        <v>0</v>
      </c>
      <c r="V22" s="656">
        <f>"-"</f>
        <v>0</v>
      </c>
      <c r="W22" s="658">
        <f aca="true" t="shared" si="19" ref="W22:W24">L22*N22</f>
        <v>0</v>
      </c>
      <c r="X22" s="661">
        <f>"-"</f>
        <v>0</v>
      </c>
      <c r="Y22"/>
      <c r="Z22"/>
      <c r="AA22"/>
      <c r="AB22"/>
      <c r="AC22"/>
      <c r="AD22"/>
      <c r="AE22"/>
      <c r="AF22"/>
      <c r="AG22"/>
      <c r="AH22"/>
      <c r="AI22"/>
    </row>
    <row r="23" spans="1:35" s="629" customFormat="1" ht="12" customHeight="1">
      <c r="A23" s="652" t="s">
        <v>635</v>
      </c>
      <c r="B23" s="663">
        <f>IF('water savings'!H35='water savings'!X34,0,1)+IF('water savings'!H36='water savings'!X34,0,1)</f>
        <v>0</v>
      </c>
      <c r="C23" s="654">
        <f>'water savings'!S37</f>
        <v>0</v>
      </c>
      <c r="D23" s="653">
        <f>IF('household+building'!$I$46="yes",'water savings'!$O$37,"0")</f>
        <v>0</v>
      </c>
      <c r="E23" s="655">
        <f>D23*'household+building'!$F$38</f>
        <v>0</v>
      </c>
      <c r="F23" s="656">
        <f>D23*'data price+co2+consumption'!$C$19/1000</f>
        <v>0</v>
      </c>
      <c r="G23" s="669">
        <f>'water savings'!M37</f>
        <v>0</v>
      </c>
      <c r="H23" s="670">
        <f>G23*'household+building'!$F$62</f>
        <v>0</v>
      </c>
      <c r="I23" s="671">
        <f>IF('household+building'!$I$46="no",'water savings'!O37,"0")</f>
        <v>0</v>
      </c>
      <c r="J23" s="672">
        <f>I23*'household+building'!$H$83</f>
        <v>0</v>
      </c>
      <c r="K23" s="657">
        <f aca="true" t="shared" si="20" ref="K23:K24">I23*O$9/1000</f>
        <v>0</v>
      </c>
      <c r="L23" s="658">
        <f aca="true" t="shared" si="21" ref="L23:L24">E23+H23+J23</f>
        <v>0</v>
      </c>
      <c r="M23" s="659">
        <f aca="true" t="shared" si="22" ref="M23:M24">F23+K23</f>
        <v>0</v>
      </c>
      <c r="N23" s="660">
        <v>10</v>
      </c>
      <c r="O23" s="657">
        <f aca="true" t="shared" si="23" ref="O23:O24">D23*N23</f>
        <v>0</v>
      </c>
      <c r="P23" s="655">
        <f aca="true" t="shared" si="24" ref="P23:P24">E23*N23</f>
        <v>0</v>
      </c>
      <c r="Q23" s="656">
        <f aca="true" t="shared" si="25" ref="Q23:Q24">F23*N23</f>
        <v>0</v>
      </c>
      <c r="R23" s="664">
        <f t="shared" si="17"/>
        <v>0</v>
      </c>
      <c r="S23" s="655">
        <f t="shared" si="18"/>
        <v>0</v>
      </c>
      <c r="T23" s="666">
        <f aca="true" t="shared" si="26" ref="T23:T24">I23*N23</f>
        <v>0</v>
      </c>
      <c r="U23" s="672">
        <f aca="true" t="shared" si="27" ref="U23:U24">J23*N23</f>
        <v>0</v>
      </c>
      <c r="V23" s="671">
        <f>M23*K23</f>
        <v>0</v>
      </c>
      <c r="W23" s="658">
        <f t="shared" si="19"/>
        <v>0</v>
      </c>
      <c r="X23" s="661">
        <f aca="true" t="shared" si="28" ref="X23:X24">M23*N23</f>
        <v>0</v>
      </c>
      <c r="Y23"/>
      <c r="Z23"/>
      <c r="AA23"/>
      <c r="AB23"/>
      <c r="AC23"/>
      <c r="AD23"/>
      <c r="AE23"/>
      <c r="AF23"/>
      <c r="AG23"/>
      <c r="AH23"/>
      <c r="AI23"/>
    </row>
    <row r="24" spans="1:35" s="629" customFormat="1" ht="12" customHeight="1">
      <c r="A24" s="652" t="s">
        <v>636</v>
      </c>
      <c r="B24" s="663">
        <f>IF('water savings'!H57='water savings'!Y58,0,1)+IF('water savings'!H58='water savings'!Y58,0,1)+IF('water savings'!H59='water savings'!Y58,0,1)+IF('water savings'!B60='water savings'!Y58,0,1)+IF('water savings'!H61='water savings'!Y58,0,1)</f>
        <v>0</v>
      </c>
      <c r="C24" s="654">
        <f>'water savings'!S62</f>
        <v>0</v>
      </c>
      <c r="D24" s="653">
        <f>IF('household+building'!$I$46="yes",'water savings'!$O$62,"0")</f>
        <v>0</v>
      </c>
      <c r="E24" s="655">
        <f>D24*'household+building'!$F$38</f>
        <v>0</v>
      </c>
      <c r="F24" s="656">
        <f>D24*'data price+co2+consumption'!$C$19/1000</f>
        <v>0</v>
      </c>
      <c r="G24" s="669">
        <f>'water savings'!M62</f>
        <v>0</v>
      </c>
      <c r="H24" s="670">
        <f>G24*'household+building'!$F$62</f>
        <v>0</v>
      </c>
      <c r="I24" s="671">
        <f>IF('household+building'!$I$46="no",'water savings'!O62,"0")</f>
        <v>0</v>
      </c>
      <c r="J24" s="672">
        <f>I24*'household+building'!$H$83</f>
        <v>0</v>
      </c>
      <c r="K24" s="657">
        <f t="shared" si="20"/>
        <v>0</v>
      </c>
      <c r="L24" s="658">
        <f t="shared" si="21"/>
        <v>0</v>
      </c>
      <c r="M24" s="659">
        <f t="shared" si="22"/>
        <v>0</v>
      </c>
      <c r="N24" s="660">
        <v>10</v>
      </c>
      <c r="O24" s="657">
        <f t="shared" si="23"/>
        <v>0</v>
      </c>
      <c r="P24" s="655">
        <f t="shared" si="24"/>
        <v>0</v>
      </c>
      <c r="Q24" s="656">
        <f t="shared" si="25"/>
        <v>0</v>
      </c>
      <c r="R24" s="664">
        <f t="shared" si="17"/>
        <v>0</v>
      </c>
      <c r="S24" s="655">
        <f t="shared" si="18"/>
        <v>0</v>
      </c>
      <c r="T24" s="666">
        <f t="shared" si="26"/>
        <v>0</v>
      </c>
      <c r="U24" s="672">
        <f t="shared" si="27"/>
        <v>0</v>
      </c>
      <c r="V24" s="671">
        <f>M24*N24</f>
        <v>0</v>
      </c>
      <c r="W24" s="658">
        <f t="shared" si="19"/>
        <v>0</v>
      </c>
      <c r="X24" s="661">
        <f t="shared" si="28"/>
        <v>0</v>
      </c>
      <c r="Y24"/>
      <c r="Z24"/>
      <c r="AA24"/>
      <c r="AB24"/>
      <c r="AC24"/>
      <c r="AD24"/>
      <c r="AE24"/>
      <c r="AF24"/>
      <c r="AG24"/>
      <c r="AH24"/>
      <c r="AI24"/>
    </row>
    <row r="25" spans="1:35" s="629" customFormat="1" ht="12" customHeight="1" hidden="1">
      <c r="A25" s="652"/>
      <c r="B25" s="666">
        <f>IF('water savings'!F39='water savings'!X41,1,0)</f>
        <v>0</v>
      </c>
      <c r="C25" s="662">
        <f>'water savings'!F40*'overview results'!B25</f>
        <v>0</v>
      </c>
      <c r="D25" s="653">
        <f>"-"</f>
        <v>0</v>
      </c>
      <c r="E25" s="657">
        <f>"-"</f>
        <v>0</v>
      </c>
      <c r="F25" s="656">
        <f>"-"</f>
        <v>0</v>
      </c>
      <c r="G25" s="653">
        <f>"-"</f>
        <v>0</v>
      </c>
      <c r="H25" s="656">
        <f>"-"</f>
        <v>0</v>
      </c>
      <c r="I25" s="657">
        <f>"-"</f>
        <v>0</v>
      </c>
      <c r="J25" s="657">
        <f>"-"</f>
        <v>0</v>
      </c>
      <c r="K25" s="657">
        <f>"-"</f>
        <v>0</v>
      </c>
      <c r="L25" s="667">
        <f>"-"</f>
        <v>0</v>
      </c>
      <c r="M25" s="673">
        <f>"-"</f>
        <v>0</v>
      </c>
      <c r="N25" s="660"/>
      <c r="O25" s="657">
        <f>"-"</f>
        <v>0</v>
      </c>
      <c r="P25" s="657">
        <f>"-"</f>
        <v>0</v>
      </c>
      <c r="Q25" s="656">
        <f>"-"</f>
        <v>0</v>
      </c>
      <c r="R25" s="657">
        <f>"-"</f>
        <v>0</v>
      </c>
      <c r="S25" s="656">
        <f>"-"</f>
        <v>0</v>
      </c>
      <c r="T25" s="653">
        <f>"-"</f>
        <v>0</v>
      </c>
      <c r="U25" s="657">
        <f>"-"</f>
        <v>0</v>
      </c>
      <c r="V25" s="656">
        <f>"-"</f>
        <v>0</v>
      </c>
      <c r="W25" s="667">
        <f>IF(ISTEXT(V25),"",V25*ixMS)</f>
        <v>0</v>
      </c>
      <c r="X25" s="674">
        <f>IF(ISTEXT(W25),"",W25*ixMS)</f>
        <v>0</v>
      </c>
      <c r="Y25"/>
      <c r="Z25"/>
      <c r="AA25"/>
      <c r="AB25"/>
      <c r="AC25"/>
      <c r="AD25"/>
      <c r="AE25"/>
      <c r="AF25"/>
      <c r="AG25"/>
      <c r="AH25"/>
      <c r="AI25"/>
    </row>
    <row r="26" spans="1:35" s="629" customFormat="1" ht="12" customHeight="1">
      <c r="A26" s="652"/>
      <c r="B26" s="666"/>
      <c r="C26" s="675"/>
      <c r="D26" s="653"/>
      <c r="E26" s="655"/>
      <c r="F26" s="656"/>
      <c r="G26" s="676"/>
      <c r="H26" s="677"/>
      <c r="I26" s="678"/>
      <c r="J26" s="679"/>
      <c r="K26" s="680"/>
      <c r="L26" s="667"/>
      <c r="M26" s="673"/>
      <c r="N26" s="660"/>
      <c r="O26" s="657"/>
      <c r="P26" s="655"/>
      <c r="Q26" s="656"/>
      <c r="R26" s="681"/>
      <c r="S26" s="681"/>
      <c r="T26" s="682"/>
      <c r="U26" s="678"/>
      <c r="V26" s="683"/>
      <c r="W26" s="658"/>
      <c r="X26" s="661"/>
      <c r="Y26"/>
      <c r="Z26"/>
      <c r="AA26"/>
      <c r="AB26"/>
      <c r="AC26"/>
      <c r="AD26"/>
      <c r="AE26"/>
      <c r="AF26"/>
      <c r="AG26"/>
      <c r="AH26"/>
      <c r="AI26"/>
    </row>
    <row r="27" spans="1:35" s="629" customFormat="1" ht="12" customHeight="1">
      <c r="A27" s="652" t="s">
        <v>637</v>
      </c>
      <c r="B27" s="666">
        <f>heating!E40</f>
        <v>1</v>
      </c>
      <c r="C27" s="662">
        <f>heating!Q40</f>
        <v>0</v>
      </c>
      <c r="D27" s="653">
        <f aca="true" t="shared" si="29" ref="D27:D31">"-"</f>
        <v>0</v>
      </c>
      <c r="E27" s="657">
        <f aca="true" t="shared" si="30" ref="E27:E31">"-"</f>
        <v>0</v>
      </c>
      <c r="F27" s="656">
        <f aca="true" t="shared" si="31" ref="F27:F31">"-"</f>
        <v>0</v>
      </c>
      <c r="G27" s="653">
        <f aca="true" t="shared" si="32" ref="G27:G31">"-"</f>
        <v>0</v>
      </c>
      <c r="H27" s="656">
        <f aca="true" t="shared" si="33" ref="H27:H31">"-"</f>
        <v>0</v>
      </c>
      <c r="I27" s="657">
        <f>heating!M40</f>
        <v>0</v>
      </c>
      <c r="J27" s="672">
        <f>heating!O40</f>
        <v>0</v>
      </c>
      <c r="K27" s="680">
        <f aca="true" t="shared" si="34" ref="K27:K32">I27*O$9/1000</f>
        <v>0</v>
      </c>
      <c r="L27" s="658">
        <f aca="true" t="shared" si="35" ref="L27:L32">J27</f>
        <v>0</v>
      </c>
      <c r="M27" s="659">
        <f aca="true" t="shared" si="36" ref="M27:M32">K27</f>
        <v>0</v>
      </c>
      <c r="N27" s="660">
        <v>5</v>
      </c>
      <c r="O27" s="657">
        <f aca="true" t="shared" si="37" ref="O27:O31">"-"</f>
        <v>0</v>
      </c>
      <c r="P27" s="657">
        <f aca="true" t="shared" si="38" ref="P27:P31">"-"</f>
        <v>0</v>
      </c>
      <c r="Q27" s="656">
        <f aca="true" t="shared" si="39" ref="Q27:Q31">"-"</f>
        <v>0</v>
      </c>
      <c r="R27" s="664">
        <f aca="true" t="shared" si="40" ref="R27:R31">"-"</f>
        <v>0</v>
      </c>
      <c r="S27" s="656">
        <f aca="true" t="shared" si="41" ref="S27:S31">"-"</f>
        <v>0</v>
      </c>
      <c r="T27" s="666">
        <f aca="true" t="shared" si="42" ref="T27:T32">I27*N27</f>
        <v>0</v>
      </c>
      <c r="U27" s="672">
        <f aca="true" t="shared" si="43" ref="U27:U32">J27*N27</f>
        <v>0</v>
      </c>
      <c r="V27" s="657">
        <f aca="true" t="shared" si="44" ref="V27:V32">K27*N27</f>
        <v>0</v>
      </c>
      <c r="W27" s="658">
        <f aca="true" t="shared" si="45" ref="W27:W32">L27*N27</f>
        <v>0</v>
      </c>
      <c r="X27" s="661">
        <f aca="true" t="shared" si="46" ref="X27:X32">M27*N27</f>
        <v>0</v>
      </c>
      <c r="Y27"/>
      <c r="Z27"/>
      <c r="AA27"/>
      <c r="AB27"/>
      <c r="AC27"/>
      <c r="AD27"/>
      <c r="AE27"/>
      <c r="AF27"/>
      <c r="AG27"/>
      <c r="AH27"/>
      <c r="AI27"/>
    </row>
    <row r="28" spans="1:35" s="629" customFormat="1" ht="12" customHeight="1" hidden="1">
      <c r="A28" s="652"/>
      <c r="B28" s="666">
        <f>heating!E57</f>
        <v>0</v>
      </c>
      <c r="C28" s="662">
        <f>heating!Q57</f>
        <v>0</v>
      </c>
      <c r="D28" s="653">
        <f t="shared" si="29"/>
        <v>0</v>
      </c>
      <c r="E28" s="657">
        <f t="shared" si="30"/>
        <v>0</v>
      </c>
      <c r="F28" s="656">
        <f t="shared" si="31"/>
        <v>0</v>
      </c>
      <c r="G28" s="653">
        <f t="shared" si="32"/>
        <v>0</v>
      </c>
      <c r="H28" s="656">
        <f t="shared" si="33"/>
        <v>0</v>
      </c>
      <c r="I28" s="657">
        <f>heating!M57</f>
        <v>0</v>
      </c>
      <c r="J28" s="655">
        <f>heating!O57</f>
        <v>0</v>
      </c>
      <c r="K28" s="680">
        <f t="shared" si="34"/>
        <v>0</v>
      </c>
      <c r="L28" s="658">
        <f t="shared" si="35"/>
        <v>0</v>
      </c>
      <c r="M28" s="659">
        <f t="shared" si="36"/>
        <v>0</v>
      </c>
      <c r="N28" s="660">
        <v>2</v>
      </c>
      <c r="O28" s="657">
        <f t="shared" si="37"/>
        <v>0</v>
      </c>
      <c r="P28" s="657">
        <f t="shared" si="38"/>
        <v>0</v>
      </c>
      <c r="Q28" s="656">
        <f t="shared" si="39"/>
        <v>0</v>
      </c>
      <c r="R28" s="664">
        <f t="shared" si="40"/>
        <v>0</v>
      </c>
      <c r="S28" s="656">
        <f t="shared" si="41"/>
        <v>0</v>
      </c>
      <c r="T28" s="666">
        <f t="shared" si="42"/>
        <v>0</v>
      </c>
      <c r="U28" s="672">
        <f t="shared" si="43"/>
        <v>0</v>
      </c>
      <c r="V28" s="657">
        <f t="shared" si="44"/>
        <v>0</v>
      </c>
      <c r="W28" s="658">
        <f t="shared" si="45"/>
        <v>0</v>
      </c>
      <c r="X28" s="661">
        <f t="shared" si="46"/>
        <v>0</v>
      </c>
      <c r="Y28"/>
      <c r="Z28"/>
      <c r="AA28"/>
      <c r="AB28"/>
      <c r="AC28"/>
      <c r="AD28"/>
      <c r="AE28"/>
      <c r="AF28"/>
      <c r="AG28"/>
      <c r="AH28"/>
      <c r="AI28"/>
    </row>
    <row r="29" spans="1:35" s="629" customFormat="1" ht="12" customHeight="1">
      <c r="A29" s="652" t="s">
        <v>638</v>
      </c>
      <c r="B29" s="666">
        <f>heating!H81</f>
        <v>0</v>
      </c>
      <c r="C29" s="662">
        <f>heating!Q81</f>
        <v>0</v>
      </c>
      <c r="D29" s="653">
        <f t="shared" si="29"/>
        <v>0</v>
      </c>
      <c r="E29" s="657">
        <f t="shared" si="30"/>
        <v>0</v>
      </c>
      <c r="F29" s="656">
        <f t="shared" si="31"/>
        <v>0</v>
      </c>
      <c r="G29" s="653">
        <f t="shared" si="32"/>
        <v>0</v>
      </c>
      <c r="H29" s="656">
        <f t="shared" si="33"/>
        <v>0</v>
      </c>
      <c r="I29" s="424">
        <f>heating!M81</f>
        <v>0</v>
      </c>
      <c r="J29" s="684">
        <f>heating!O81</f>
        <v>0</v>
      </c>
      <c r="K29" s="685">
        <f t="shared" si="34"/>
        <v>0</v>
      </c>
      <c r="L29" s="658">
        <f t="shared" si="35"/>
        <v>0</v>
      </c>
      <c r="M29" s="659">
        <f t="shared" si="36"/>
        <v>0</v>
      </c>
      <c r="N29" s="660">
        <v>5</v>
      </c>
      <c r="O29" s="657">
        <f t="shared" si="37"/>
        <v>0</v>
      </c>
      <c r="P29" s="657">
        <f t="shared" si="38"/>
        <v>0</v>
      </c>
      <c r="Q29" s="656">
        <f t="shared" si="39"/>
        <v>0</v>
      </c>
      <c r="R29" s="664">
        <f t="shared" si="40"/>
        <v>0</v>
      </c>
      <c r="S29" s="656">
        <f t="shared" si="41"/>
        <v>0</v>
      </c>
      <c r="T29" s="666">
        <f t="shared" si="42"/>
        <v>0</v>
      </c>
      <c r="U29" s="672">
        <f t="shared" si="43"/>
        <v>0</v>
      </c>
      <c r="V29" s="657">
        <f t="shared" si="44"/>
        <v>0</v>
      </c>
      <c r="W29" s="658">
        <f t="shared" si="45"/>
        <v>0</v>
      </c>
      <c r="X29" s="661">
        <f t="shared" si="46"/>
        <v>0</v>
      </c>
      <c r="Y29"/>
      <c r="Z29"/>
      <c r="AA29"/>
      <c r="AB29"/>
      <c r="AC29"/>
      <c r="AD29"/>
      <c r="AE29"/>
      <c r="AF29"/>
      <c r="AG29"/>
      <c r="AH29"/>
      <c r="AI29"/>
    </row>
    <row r="30" spans="1:35" s="629" customFormat="1" ht="12" customHeight="1">
      <c r="A30" s="652" t="s">
        <v>639</v>
      </c>
      <c r="B30" s="666">
        <f>heating!E108</f>
        <v>0</v>
      </c>
      <c r="C30" s="662">
        <f>heating!Q108</f>
        <v>0</v>
      </c>
      <c r="D30" s="653">
        <f t="shared" si="29"/>
        <v>0</v>
      </c>
      <c r="E30" s="657">
        <f t="shared" si="30"/>
        <v>0</v>
      </c>
      <c r="F30" s="656">
        <f t="shared" si="31"/>
        <v>0</v>
      </c>
      <c r="G30" s="653">
        <f t="shared" si="32"/>
        <v>0</v>
      </c>
      <c r="H30" s="656">
        <f t="shared" si="33"/>
        <v>0</v>
      </c>
      <c r="I30" s="665">
        <f>heating!M108</f>
        <v>0</v>
      </c>
      <c r="J30" s="655">
        <f>heating!O108</f>
        <v>0</v>
      </c>
      <c r="K30" s="680">
        <f t="shared" si="34"/>
        <v>0</v>
      </c>
      <c r="L30" s="658">
        <f t="shared" si="35"/>
        <v>0</v>
      </c>
      <c r="M30" s="659">
        <f t="shared" si="36"/>
        <v>0</v>
      </c>
      <c r="N30" s="660">
        <v>10</v>
      </c>
      <c r="O30" s="657">
        <f t="shared" si="37"/>
        <v>0</v>
      </c>
      <c r="P30" s="657">
        <f t="shared" si="38"/>
        <v>0</v>
      </c>
      <c r="Q30" s="656">
        <f t="shared" si="39"/>
        <v>0</v>
      </c>
      <c r="R30" s="664">
        <f t="shared" si="40"/>
        <v>0</v>
      </c>
      <c r="S30" s="656">
        <f t="shared" si="41"/>
        <v>0</v>
      </c>
      <c r="T30" s="666">
        <f t="shared" si="42"/>
        <v>0</v>
      </c>
      <c r="U30" s="672">
        <f t="shared" si="43"/>
        <v>0</v>
      </c>
      <c r="V30" s="657">
        <f t="shared" si="44"/>
        <v>0</v>
      </c>
      <c r="W30" s="658">
        <f t="shared" si="45"/>
        <v>0</v>
      </c>
      <c r="X30" s="661">
        <f t="shared" si="46"/>
        <v>0</v>
      </c>
      <c r="Y30"/>
      <c r="Z30"/>
      <c r="AA30"/>
      <c r="AB30"/>
      <c r="AC30"/>
      <c r="AD30"/>
      <c r="AE30"/>
      <c r="AF30"/>
      <c r="AG30"/>
      <c r="AH30"/>
      <c r="AI30"/>
    </row>
    <row r="31" spans="1:35" s="629" customFormat="1" ht="12" customHeight="1" hidden="1">
      <c r="A31" s="652"/>
      <c r="B31" s="653">
        <f>heating!E121</f>
        <v>0</v>
      </c>
      <c r="C31" s="662">
        <f>heating!Q121</f>
        <v>0</v>
      </c>
      <c r="D31" s="657">
        <f t="shared" si="29"/>
        <v>0</v>
      </c>
      <c r="E31" s="657">
        <f t="shared" si="30"/>
        <v>0</v>
      </c>
      <c r="F31" s="657">
        <f t="shared" si="31"/>
        <v>0</v>
      </c>
      <c r="G31" s="653">
        <f t="shared" si="32"/>
        <v>0</v>
      </c>
      <c r="H31" s="656">
        <f t="shared" si="33"/>
        <v>0</v>
      </c>
      <c r="I31" s="665">
        <f>heating!M121</f>
        <v>0</v>
      </c>
      <c r="J31" s="655">
        <f>heating!O121</f>
        <v>0</v>
      </c>
      <c r="K31" s="680">
        <f t="shared" si="34"/>
        <v>0</v>
      </c>
      <c r="L31" s="658">
        <f t="shared" si="35"/>
        <v>0</v>
      </c>
      <c r="M31" s="659">
        <f t="shared" si="36"/>
        <v>0</v>
      </c>
      <c r="N31" s="660">
        <v>10</v>
      </c>
      <c r="O31" s="657">
        <f t="shared" si="37"/>
        <v>0</v>
      </c>
      <c r="P31" s="657">
        <f t="shared" si="38"/>
        <v>0</v>
      </c>
      <c r="Q31" s="656">
        <f t="shared" si="39"/>
        <v>0</v>
      </c>
      <c r="R31" s="664">
        <f t="shared" si="40"/>
        <v>0</v>
      </c>
      <c r="S31" s="657">
        <f t="shared" si="41"/>
        <v>0</v>
      </c>
      <c r="T31" s="666">
        <f t="shared" si="42"/>
        <v>0</v>
      </c>
      <c r="U31" s="672">
        <f t="shared" si="43"/>
        <v>0</v>
      </c>
      <c r="V31" s="657">
        <f t="shared" si="44"/>
        <v>0</v>
      </c>
      <c r="W31" s="658">
        <f t="shared" si="45"/>
        <v>0</v>
      </c>
      <c r="X31" s="661">
        <f t="shared" si="46"/>
        <v>0</v>
      </c>
      <c r="Y31"/>
      <c r="Z31"/>
      <c r="AA31"/>
      <c r="AB31"/>
      <c r="AC31"/>
      <c r="AD31"/>
      <c r="AE31"/>
      <c r="AF31"/>
      <c r="AG31"/>
      <c r="AH31"/>
      <c r="AI31"/>
    </row>
    <row r="32" spans="1:35" s="629" customFormat="1" ht="12" customHeight="1" hidden="1">
      <c r="A32" s="652"/>
      <c r="B32" s="666">
        <f>heating!E140</f>
        <v>0</v>
      </c>
      <c r="C32" s="662">
        <f>heating!Q140</f>
        <v>0</v>
      </c>
      <c r="D32" s="653"/>
      <c r="E32" s="657"/>
      <c r="F32" s="656"/>
      <c r="G32" s="669"/>
      <c r="H32" s="686"/>
      <c r="I32" s="657">
        <f>heating!M140</f>
        <v>0</v>
      </c>
      <c r="J32" s="665">
        <f>heating!O140</f>
        <v>0</v>
      </c>
      <c r="K32" s="680">
        <f t="shared" si="34"/>
        <v>0</v>
      </c>
      <c r="L32" s="658">
        <f t="shared" si="35"/>
        <v>0</v>
      </c>
      <c r="M32" s="659">
        <f t="shared" si="36"/>
        <v>0</v>
      </c>
      <c r="N32" s="660">
        <v>12</v>
      </c>
      <c r="O32" s="657"/>
      <c r="P32" s="657"/>
      <c r="Q32" s="656"/>
      <c r="R32" s="668"/>
      <c r="S32" s="668"/>
      <c r="T32" s="666">
        <f t="shared" si="42"/>
        <v>0</v>
      </c>
      <c r="U32" s="672">
        <f t="shared" si="43"/>
        <v>0</v>
      </c>
      <c r="V32" s="657">
        <f t="shared" si="44"/>
        <v>0</v>
      </c>
      <c r="W32" s="658">
        <f t="shared" si="45"/>
        <v>0</v>
      </c>
      <c r="X32" s="661">
        <f t="shared" si="46"/>
        <v>0</v>
      </c>
      <c r="Y32"/>
      <c r="Z32"/>
      <c r="AA32"/>
      <c r="AB32"/>
      <c r="AC32"/>
      <c r="AD32"/>
      <c r="AE32"/>
      <c r="AF32"/>
      <c r="AG32"/>
      <c r="AH32"/>
      <c r="AI32"/>
    </row>
    <row r="33" spans="1:35" s="629" customFormat="1" ht="12" customHeight="1">
      <c r="A33" s="652"/>
      <c r="B33" s="666"/>
      <c r="C33" s="662"/>
      <c r="D33" s="653"/>
      <c r="E33" s="657"/>
      <c r="F33" s="656"/>
      <c r="G33" s="669"/>
      <c r="H33" s="686"/>
      <c r="I33" s="665"/>
      <c r="J33" s="665"/>
      <c r="K33" s="657"/>
      <c r="L33" s="667"/>
      <c r="M33" s="673"/>
      <c r="N33" s="660"/>
      <c r="O33" s="657"/>
      <c r="P33" s="657"/>
      <c r="Q33" s="656"/>
      <c r="R33" s="668"/>
      <c r="S33" s="668"/>
      <c r="T33" s="666"/>
      <c r="U33" s="672"/>
      <c r="V33" s="665"/>
      <c r="W33" s="658"/>
      <c r="X33" s="661"/>
      <c r="Y33"/>
      <c r="Z33"/>
      <c r="AA33"/>
      <c r="AB33"/>
      <c r="AC33"/>
      <c r="AD33"/>
      <c r="AE33"/>
      <c r="AF33"/>
      <c r="AG33"/>
      <c r="AH33"/>
      <c r="AI33"/>
    </row>
    <row r="34" spans="1:35" s="629" customFormat="1" ht="12" customHeight="1" hidden="1">
      <c r="A34" s="652"/>
      <c r="B34" s="666">
        <v>0</v>
      </c>
      <c r="C34" s="662">
        <f>heating!Q147</f>
        <v>0</v>
      </c>
      <c r="D34" s="653">
        <f aca="true" t="shared" si="47" ref="D34:D36">"-"</f>
        <v>0</v>
      </c>
      <c r="E34" s="657">
        <f aca="true" t="shared" si="48" ref="E34:E36">"-"</f>
        <v>0</v>
      </c>
      <c r="F34" s="656">
        <f aca="true" t="shared" si="49" ref="F34:F36">"-"</f>
        <v>0</v>
      </c>
      <c r="G34" s="653">
        <f aca="true" t="shared" si="50" ref="G34:G36">"-"</f>
        <v>0</v>
      </c>
      <c r="H34" s="656">
        <f aca="true" t="shared" si="51" ref="H34:H36">"-"</f>
        <v>0</v>
      </c>
      <c r="I34" s="653">
        <f aca="true" t="shared" si="52" ref="I34:I36">"-"</f>
        <v>0</v>
      </c>
      <c r="J34" s="657">
        <f aca="true" t="shared" si="53" ref="J34:J36">"-"</f>
        <v>0</v>
      </c>
      <c r="K34" s="657">
        <f aca="true" t="shared" si="54" ref="K34:K36">"-"</f>
        <v>0</v>
      </c>
      <c r="L34" s="667">
        <f aca="true" t="shared" si="55" ref="L34:L36">"-"</f>
        <v>0</v>
      </c>
      <c r="M34" s="673">
        <f aca="true" t="shared" si="56" ref="M34:M36">"-"</f>
        <v>0</v>
      </c>
      <c r="N34" s="660"/>
      <c r="O34" s="657">
        <f aca="true" t="shared" si="57" ref="O34:O36">"-"</f>
        <v>0</v>
      </c>
      <c r="P34" s="657">
        <f aca="true" t="shared" si="58" ref="P34:P36">"-"</f>
        <v>0</v>
      </c>
      <c r="Q34" s="656">
        <f aca="true" t="shared" si="59" ref="Q34:Q36">"-"</f>
        <v>0</v>
      </c>
      <c r="R34" s="657">
        <f aca="true" t="shared" si="60" ref="R34:R36">"-"</f>
        <v>0</v>
      </c>
      <c r="S34" s="656">
        <f aca="true" t="shared" si="61" ref="S34:S36">"-"</f>
        <v>0</v>
      </c>
      <c r="T34" s="653">
        <f aca="true" t="shared" si="62" ref="T34:T36">"-"</f>
        <v>0</v>
      </c>
      <c r="U34" s="657">
        <f aca="true" t="shared" si="63" ref="U34:U36">"-"</f>
        <v>0</v>
      </c>
      <c r="V34" s="657">
        <f aca="true" t="shared" si="64" ref="V34:V36">"-"</f>
        <v>0</v>
      </c>
      <c r="W34" s="667">
        <f aca="true" t="shared" si="65" ref="W34:W36">"-"</f>
        <v>0</v>
      </c>
      <c r="X34" s="674">
        <f aca="true" t="shared" si="66" ref="X34:X36">"-"</f>
        <v>0</v>
      </c>
      <c r="Y34"/>
      <c r="Z34"/>
      <c r="AA34"/>
      <c r="AB34"/>
      <c r="AC34"/>
      <c r="AD34"/>
      <c r="AE34"/>
      <c r="AF34"/>
      <c r="AG34"/>
      <c r="AH34"/>
      <c r="AI34"/>
    </row>
    <row r="35" spans="1:35" s="629" customFormat="1" ht="12" customHeight="1" hidden="1">
      <c r="A35" s="652"/>
      <c r="B35" s="666">
        <f>heating!H167</f>
        <v>0</v>
      </c>
      <c r="C35" s="662">
        <f>heating!Q167</f>
        <v>0</v>
      </c>
      <c r="D35" s="653">
        <f t="shared" si="47"/>
        <v>0</v>
      </c>
      <c r="E35" s="657">
        <f t="shared" si="48"/>
        <v>0</v>
      </c>
      <c r="F35" s="656">
        <f t="shared" si="49"/>
        <v>0</v>
      </c>
      <c r="G35" s="653">
        <f t="shared" si="50"/>
        <v>0</v>
      </c>
      <c r="H35" s="656">
        <f t="shared" si="51"/>
        <v>0</v>
      </c>
      <c r="I35" s="653">
        <f t="shared" si="52"/>
        <v>0</v>
      </c>
      <c r="J35" s="657">
        <f t="shared" si="53"/>
        <v>0</v>
      </c>
      <c r="K35" s="657">
        <f t="shared" si="54"/>
        <v>0</v>
      </c>
      <c r="L35" s="667">
        <f t="shared" si="55"/>
        <v>0</v>
      </c>
      <c r="M35" s="673">
        <f t="shared" si="56"/>
        <v>0</v>
      </c>
      <c r="N35" s="660"/>
      <c r="O35" s="657">
        <f t="shared" si="57"/>
        <v>0</v>
      </c>
      <c r="P35" s="657">
        <f t="shared" si="58"/>
        <v>0</v>
      </c>
      <c r="Q35" s="656">
        <f t="shared" si="59"/>
        <v>0</v>
      </c>
      <c r="R35" s="657">
        <f t="shared" si="60"/>
        <v>0</v>
      </c>
      <c r="S35" s="656">
        <f t="shared" si="61"/>
        <v>0</v>
      </c>
      <c r="T35" s="653">
        <f t="shared" si="62"/>
        <v>0</v>
      </c>
      <c r="U35" s="657">
        <f t="shared" si="63"/>
        <v>0</v>
      </c>
      <c r="V35" s="657">
        <f t="shared" si="64"/>
        <v>0</v>
      </c>
      <c r="W35" s="667">
        <f t="shared" si="65"/>
        <v>0</v>
      </c>
      <c r="X35" s="674">
        <f t="shared" si="66"/>
        <v>0</v>
      </c>
      <c r="Y35"/>
      <c r="Z35"/>
      <c r="AA35"/>
      <c r="AB35"/>
      <c r="AC35"/>
      <c r="AD35"/>
      <c r="AE35"/>
      <c r="AF35"/>
      <c r="AG35"/>
      <c r="AH35"/>
      <c r="AI35"/>
    </row>
    <row r="36" spans="1:35" s="629" customFormat="1" ht="12" customHeight="1" hidden="1">
      <c r="A36" s="652"/>
      <c r="B36" s="666">
        <v>0</v>
      </c>
      <c r="C36" s="662">
        <v>0</v>
      </c>
      <c r="D36" s="653">
        <f t="shared" si="47"/>
        <v>0</v>
      </c>
      <c r="E36" s="657">
        <f t="shared" si="48"/>
        <v>0</v>
      </c>
      <c r="F36" s="656">
        <f t="shared" si="49"/>
        <v>0</v>
      </c>
      <c r="G36" s="653">
        <f t="shared" si="50"/>
        <v>0</v>
      </c>
      <c r="H36" s="656">
        <f t="shared" si="51"/>
        <v>0</v>
      </c>
      <c r="I36" s="653">
        <f t="shared" si="52"/>
        <v>0</v>
      </c>
      <c r="J36" s="657">
        <f t="shared" si="53"/>
        <v>0</v>
      </c>
      <c r="K36" s="657">
        <f t="shared" si="54"/>
        <v>0</v>
      </c>
      <c r="L36" s="667">
        <f t="shared" si="55"/>
        <v>0</v>
      </c>
      <c r="M36" s="673">
        <f t="shared" si="56"/>
        <v>0</v>
      </c>
      <c r="N36" s="660"/>
      <c r="O36" s="657">
        <f t="shared" si="57"/>
        <v>0</v>
      </c>
      <c r="P36" s="657">
        <f t="shared" si="58"/>
        <v>0</v>
      </c>
      <c r="Q36" s="656">
        <f t="shared" si="59"/>
        <v>0</v>
      </c>
      <c r="R36" s="657">
        <f t="shared" si="60"/>
        <v>0</v>
      </c>
      <c r="S36" s="656">
        <f t="shared" si="61"/>
        <v>0</v>
      </c>
      <c r="T36" s="653">
        <f t="shared" si="62"/>
        <v>0</v>
      </c>
      <c r="U36" s="657">
        <f t="shared" si="63"/>
        <v>0</v>
      </c>
      <c r="V36" s="657">
        <f t="shared" si="64"/>
        <v>0</v>
      </c>
      <c r="W36" s="667">
        <f t="shared" si="65"/>
        <v>0</v>
      </c>
      <c r="X36" s="674">
        <f t="shared" si="66"/>
        <v>0</v>
      </c>
      <c r="Y36"/>
      <c r="Z36"/>
      <c r="AA36"/>
      <c r="AB36"/>
      <c r="AC36"/>
      <c r="AD36"/>
      <c r="AE36"/>
      <c r="AF36"/>
      <c r="AG36"/>
      <c r="AH36"/>
      <c r="AI36"/>
    </row>
    <row r="37" spans="1:35" s="629" customFormat="1" ht="12.75" customHeight="1" hidden="1">
      <c r="A37"/>
      <c r="B37" s="666"/>
      <c r="C37" s="662"/>
      <c r="D37" s="653"/>
      <c r="E37" s="657"/>
      <c r="F37" s="656"/>
      <c r="G37" s="669"/>
      <c r="H37" s="686"/>
      <c r="I37" s="665"/>
      <c r="J37" s="665"/>
      <c r="K37" s="657"/>
      <c r="L37" s="667"/>
      <c r="M37" s="673"/>
      <c r="N37" s="660"/>
      <c r="O37" s="657"/>
      <c r="P37" s="657"/>
      <c r="Q37" s="656"/>
      <c r="R37" s="668"/>
      <c r="S37" s="668"/>
      <c r="T37" s="666"/>
      <c r="U37" s="665"/>
      <c r="V37" s="665"/>
      <c r="W37" s="658"/>
      <c r="X37" s="661"/>
      <c r="Y37"/>
      <c r="Z37"/>
      <c r="AA37"/>
      <c r="AB37"/>
      <c r="AC37"/>
      <c r="AD37"/>
      <c r="AE37"/>
      <c r="AF37"/>
      <c r="AG37"/>
      <c r="AH37"/>
      <c r="AI37"/>
    </row>
    <row r="38" spans="1:35" s="629" customFormat="1" ht="12.75" customHeight="1">
      <c r="A38" s="687" t="s">
        <v>640</v>
      </c>
      <c r="B38" s="688">
        <f>SUM(B15:B37)</f>
        <v>1</v>
      </c>
      <c r="C38" s="689">
        <f>SUM(C15:C37)</f>
        <v>0</v>
      </c>
      <c r="D38" s="690">
        <f>SUM(D15:D37)</f>
        <v>0</v>
      </c>
      <c r="E38" s="691">
        <f>SUM(E15:E37)</f>
        <v>0</v>
      </c>
      <c r="F38" s="692">
        <f>SUM(F15:F37)</f>
        <v>0</v>
      </c>
      <c r="G38" s="693">
        <f>SUM(G15:G37)</f>
        <v>0</v>
      </c>
      <c r="H38" s="694">
        <f>SUM(H15:H37)</f>
        <v>0</v>
      </c>
      <c r="I38" s="695">
        <f>SUM(I15:I37)</f>
        <v>0</v>
      </c>
      <c r="J38" s="696">
        <f>SUM(J15:J37)</f>
        <v>0</v>
      </c>
      <c r="K38" s="697">
        <f>SUM(K15:K37)</f>
        <v>0</v>
      </c>
      <c r="L38" s="698">
        <f>SUM(L15:L32)</f>
        <v>0</v>
      </c>
      <c r="M38" s="699">
        <f>SUM(M15:M37)</f>
        <v>0</v>
      </c>
      <c r="N38" s="700"/>
      <c r="O38" s="699">
        <f>SUM(O15:O37)</f>
        <v>0</v>
      </c>
      <c r="P38" s="701">
        <f>SUM(P15:P37)</f>
        <v>0</v>
      </c>
      <c r="Q38" s="702">
        <f>SUM(Q15:Q37)</f>
        <v>0</v>
      </c>
      <c r="R38" s="695">
        <f>SUM(R15:R37)</f>
        <v>0</v>
      </c>
      <c r="S38" s="694">
        <f>SUM(S15:S37)</f>
        <v>0</v>
      </c>
      <c r="T38" s="703">
        <f>SUM(T15:T37)</f>
        <v>0</v>
      </c>
      <c r="U38" s="696">
        <f>SUM(U15:U37)</f>
        <v>0</v>
      </c>
      <c r="V38" s="699">
        <f>SUM(V15:V37)</f>
        <v>0</v>
      </c>
      <c r="W38" s="696">
        <f>SUM(W15:W37)</f>
        <v>0</v>
      </c>
      <c r="X38" s="702">
        <f>SUM(X15:X37)</f>
        <v>0</v>
      </c>
      <c r="Y38"/>
      <c r="Z38"/>
      <c r="AA38"/>
      <c r="AB38"/>
      <c r="AC38"/>
      <c r="AD38"/>
      <c r="AE38"/>
      <c r="AF38"/>
      <c r="AG38"/>
      <c r="AH38"/>
      <c r="AI38"/>
    </row>
    <row r="39" spans="1:26" s="629" customFormat="1" ht="12" customHeight="1">
      <c r="A39" s="652" t="s">
        <v>641</v>
      </c>
      <c r="B39"/>
      <c r="C39" s="704"/>
      <c r="D39" s="705">
        <f>_xlfn.IFERROR(D38/D7,0)</f>
        <v>0</v>
      </c>
      <c r="E39" s="706"/>
      <c r="F39" s="706"/>
      <c r="G39" s="705">
        <f>_xlfn.IFERROR(G38/D8,0)</f>
        <v>0</v>
      </c>
      <c r="H39" s="706"/>
      <c r="I39" s="705">
        <f>_xlfn.IFERROR(I38/D9,0)</f>
        <v>0</v>
      </c>
      <c r="J39"/>
      <c r="K39"/>
      <c r="L39" s="704"/>
      <c r="M39"/>
      <c r="N39"/>
      <c r="O39"/>
      <c r="P39"/>
      <c r="Q39"/>
      <c r="R39"/>
      <c r="S39"/>
      <c r="T39"/>
      <c r="U39"/>
      <c r="V39"/>
      <c r="W39" s="707"/>
      <c r="X39" s="708"/>
      <c r="Y39"/>
      <c r="Z39"/>
    </row>
    <row r="40" spans="1:26" s="629" customFormat="1" ht="12" customHeight="1">
      <c r="A40" s="709" t="s">
        <v>642</v>
      </c>
      <c r="B40"/>
      <c r="C40"/>
      <c r="D40" s="710">
        <f>IF(D39&gt;D41,"to high","o.k.")</f>
        <v>0</v>
      </c>
      <c r="E40" s="710">
        <f>IF(E39&gt;0.5,0," ")</f>
        <v>0</v>
      </c>
      <c r="F40" s="710">
        <f>IF(F39&gt;0.5,0," ")</f>
        <v>0</v>
      </c>
      <c r="G40" s="710">
        <f>IF(G39&gt;G41,"to high","o.k.")</f>
        <v>0</v>
      </c>
      <c r="H40" s="711"/>
      <c r="I40" s="710">
        <f>IF(I39&gt;I41,"to high","o.k.")</f>
        <v>0</v>
      </c>
      <c r="J40"/>
      <c r="K40"/>
      <c r="L40"/>
      <c r="M40"/>
      <c r="N40"/>
      <c r="O40"/>
      <c r="P40"/>
      <c r="Q40"/>
      <c r="R40"/>
      <c r="S40"/>
      <c r="T40"/>
      <c r="U40"/>
      <c r="V40"/>
      <c r="W40"/>
      <c r="X40"/>
      <c r="Y40"/>
      <c r="Z40"/>
    </row>
    <row r="41" spans="1:26" s="629" customFormat="1" ht="12" customHeight="1">
      <c r="A41" s="629" t="s">
        <v>643</v>
      </c>
      <c r="B41"/>
      <c r="C41"/>
      <c r="D41" s="712">
        <v>0.5</v>
      </c>
      <c r="E41" s="713"/>
      <c r="F41" s="713"/>
      <c r="G41" s="712">
        <v>0.30000000000000004</v>
      </c>
      <c r="H41" s="706"/>
      <c r="I41" s="712">
        <v>0.25</v>
      </c>
      <c r="J41"/>
      <c r="K41"/>
      <c r="L41"/>
      <c r="M41"/>
      <c r="N41"/>
      <c r="O41"/>
      <c r="P41"/>
      <c r="Q41"/>
      <c r="R41"/>
      <c r="S41"/>
      <c r="T41"/>
      <c r="U41"/>
      <c r="V41"/>
      <c r="W41"/>
      <c r="X41"/>
      <c r="Y41"/>
      <c r="Z41"/>
    </row>
    <row r="42" spans="1:26" s="629" customFormat="1" ht="15.75" customHeight="1">
      <c r="A42" s="626"/>
      <c r="B42" s="652"/>
      <c r="C42" s="652"/>
      <c r="D42"/>
      <c r="E42"/>
      <c r="F42"/>
      <c r="G42"/>
      <c r="H42"/>
      <c r="I42"/>
      <c r="J42"/>
      <c r="K42"/>
      <c r="L42"/>
      <c r="M42"/>
      <c r="N42"/>
      <c r="O42"/>
      <c r="P42"/>
      <c r="Q42"/>
      <c r="R42"/>
      <c r="S42"/>
      <c r="T42"/>
      <c r="U42"/>
      <c r="V42"/>
      <c r="W42"/>
      <c r="X42"/>
      <c r="Y42"/>
      <c r="Z42"/>
    </row>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33">
    <mergeCell ref="Z3:AF3"/>
    <mergeCell ref="C4:D4"/>
    <mergeCell ref="E6:F6"/>
    <mergeCell ref="R6:X6"/>
    <mergeCell ref="E7:F7"/>
    <mergeCell ref="Z7:AF7"/>
    <mergeCell ref="E8:F8"/>
    <mergeCell ref="I8:J8"/>
    <mergeCell ref="O8:Q8"/>
    <mergeCell ref="E9:F9"/>
    <mergeCell ref="I9:J9"/>
    <mergeCell ref="O9:Q9"/>
    <mergeCell ref="O10:Q10"/>
    <mergeCell ref="B12:C12"/>
    <mergeCell ref="D12:N12"/>
    <mergeCell ref="O12:X12"/>
    <mergeCell ref="Y12:AI12"/>
    <mergeCell ref="B13:B14"/>
    <mergeCell ref="C13:C14"/>
    <mergeCell ref="D13:F13"/>
    <mergeCell ref="G13:H13"/>
    <mergeCell ref="I13:K13"/>
    <mergeCell ref="L13:M13"/>
    <mergeCell ref="N13:N14"/>
    <mergeCell ref="O13:Q13"/>
    <mergeCell ref="R13:S13"/>
    <mergeCell ref="T13:V13"/>
    <mergeCell ref="W13:X13"/>
    <mergeCell ref="Y13:Y14"/>
    <mergeCell ref="Z13:AB13"/>
    <mergeCell ref="AC13:AD13"/>
    <mergeCell ref="AE13:AG13"/>
    <mergeCell ref="AH13:AI13"/>
  </mergeCells>
  <printOptions/>
  <pageMargins left="0.7875" right="0.7875" top="0.9840277777777777" bottom="0.9840277777777777" header="0.5118055555555555" footer="0.5118055555555555"/>
  <pageSetup horizontalDpi="300" verticalDpi="300" orientation="landscape" paperSize="9"/>
  <colBreaks count="1" manualBreakCount="1">
    <brk id="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17379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EnergySaving Check 3.0</dc:title>
  <dc:subject/>
  <dc:creator>Elke Dünnhoff, Reinhold Hufgard</dc:creator>
  <cp:keywords/>
  <dc:description>funded by ACHIEVE - Actions in low income households to improve energy efficiency through visits and energy diagnosis, Contract No. IEE/10/431/SI2.589429</dc:description>
  <cp:lastModifiedBy/>
  <cp:lastPrinted>2012-01-25T13:20:30Z</cp:lastPrinted>
  <dcterms:created xsi:type="dcterms:W3CDTF">2007-02-22T12:40:03Z</dcterms:created>
  <dcterms:modified xsi:type="dcterms:W3CDTF">2020-11-27T11:06:53Z</dcterms:modified>
  <cp:category/>
  <cp:version/>
  <cp:contentType/>
  <cp:contentStatus/>
  <cp:revision>87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Caritasverband Frankfurt e.V.,</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